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D--------2026--49-------\90290145-9a04-4566-9972-e7277e97f717\scratchpad\sim\out\"/>
    </mc:Choice>
  </mc:AlternateContent>
  <xr:revisionPtr revIDLastSave="0" documentId="13_ncr:1_{0592915F-9967-45D7-AAA3-D136AB06F37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설정" sheetId="1" r:id="rId1"/>
    <sheet name="위원1" sheetId="2" r:id="rId2"/>
    <sheet name="위원2" sheetId="3" r:id="rId3"/>
    <sheet name="위원3" sheetId="4" r:id="rId4"/>
    <sheet name="집계표" sheetId="5" r:id="rId5"/>
    <sheet name="점검" sheetId="6" r:id="rId6"/>
    <sheet name="결과" sheetId="7" r:id="rId7"/>
  </sheets>
  <definedNames>
    <definedName name="배점1">설정!$B$10</definedName>
    <definedName name="배점2">설정!$B$11</definedName>
    <definedName name="배점3">설정!$B$12</definedName>
    <definedName name="연도">설정!$B$4</definedName>
    <definedName name="추천인원">설정!$B$6</definedName>
    <definedName name="추첨번호">설정!$B$7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1" i="7" l="1"/>
  <c r="A20" i="7"/>
  <c r="A19" i="7"/>
  <c r="A18" i="7"/>
  <c r="A17" i="7"/>
  <c r="A16" i="7"/>
  <c r="A15" i="7"/>
  <c r="A14" i="7"/>
  <c r="F10" i="7"/>
  <c r="E10" i="7"/>
  <c r="D10" i="7"/>
  <c r="C10" i="7"/>
  <c r="B10" i="7"/>
  <c r="A10" i="7"/>
  <c r="F9" i="7"/>
  <c r="E9" i="7"/>
  <c r="D9" i="7"/>
  <c r="C9" i="7"/>
  <c r="B9" i="7"/>
  <c r="A9" i="7"/>
  <c r="F8" i="7"/>
  <c r="E8" i="7"/>
  <c r="D8" i="7"/>
  <c r="C8" i="7"/>
  <c r="B8" i="7"/>
  <c r="A8" i="7"/>
  <c r="A7" i="7"/>
  <c r="A6" i="7"/>
  <c r="A4" i="7"/>
  <c r="A1" i="7"/>
  <c r="B6" i="6"/>
  <c r="B5" i="6"/>
  <c r="B4" i="6"/>
  <c r="P11" i="5"/>
  <c r="B18" i="6" s="1"/>
  <c r="K11" i="5"/>
  <c r="J11" i="5"/>
  <c r="D11" i="5"/>
  <c r="C11" i="5"/>
  <c r="B11" i="5"/>
  <c r="A11" i="5"/>
  <c r="L11" i="5" s="1"/>
  <c r="P10" i="5"/>
  <c r="A17" i="6" s="1"/>
  <c r="L10" i="5"/>
  <c r="K10" i="5"/>
  <c r="J10" i="5"/>
  <c r="D10" i="5"/>
  <c r="C10" i="5"/>
  <c r="B10" i="5"/>
  <c r="A10" i="5"/>
  <c r="P9" i="5"/>
  <c r="B16" i="6" s="1"/>
  <c r="K9" i="5"/>
  <c r="J9" i="5"/>
  <c r="D9" i="5"/>
  <c r="C9" i="5"/>
  <c r="B9" i="5"/>
  <c r="A9" i="5"/>
  <c r="L9" i="5" s="1"/>
  <c r="P8" i="5"/>
  <c r="B15" i="6" s="1"/>
  <c r="K8" i="5"/>
  <c r="J8" i="5"/>
  <c r="D8" i="5"/>
  <c r="C8" i="5"/>
  <c r="B8" i="5"/>
  <c r="A8" i="5"/>
  <c r="A15" i="6" s="1"/>
  <c r="P7" i="5"/>
  <c r="A14" i="6" s="1"/>
  <c r="K7" i="5"/>
  <c r="J7" i="5"/>
  <c r="D7" i="5"/>
  <c r="C7" i="5"/>
  <c r="B7" i="5"/>
  <c r="A7" i="5"/>
  <c r="L7" i="5" s="1"/>
  <c r="P6" i="5"/>
  <c r="B13" i="6" s="1"/>
  <c r="K6" i="5"/>
  <c r="J6" i="5"/>
  <c r="G6" i="5"/>
  <c r="D6" i="5"/>
  <c r="C6" i="5"/>
  <c r="B6" i="5"/>
  <c r="A6" i="5"/>
  <c r="L6" i="5" s="1"/>
  <c r="P5" i="5"/>
  <c r="B12" i="6" s="1"/>
  <c r="L5" i="5"/>
  <c r="K5" i="5"/>
  <c r="J5" i="5"/>
  <c r="D5" i="5"/>
  <c r="C5" i="5"/>
  <c r="B5" i="5"/>
  <c r="A5" i="5"/>
  <c r="P4" i="5"/>
  <c r="A11" i="6" s="1"/>
  <c r="K4" i="5"/>
  <c r="J4" i="5"/>
  <c r="D4" i="5"/>
  <c r="C4" i="5"/>
  <c r="B4" i="5"/>
  <c r="A4" i="5"/>
  <c r="L4" i="5" s="1"/>
  <c r="H11" i="4"/>
  <c r="G11" i="5" s="1"/>
  <c r="H10" i="4"/>
  <c r="G10" i="5" s="1"/>
  <c r="H9" i="4"/>
  <c r="G9" i="5" s="1"/>
  <c r="H8" i="4"/>
  <c r="G8" i="5" s="1"/>
  <c r="H7" i="4"/>
  <c r="G7" i="5" s="1"/>
  <c r="H6" i="4"/>
  <c r="H5" i="4"/>
  <c r="G5" i="5" s="1"/>
  <c r="H4" i="4"/>
  <c r="G4" i="5" s="1"/>
  <c r="H11" i="3"/>
  <c r="F11" i="5" s="1"/>
  <c r="H10" i="3"/>
  <c r="F10" i="5" s="1"/>
  <c r="H9" i="3"/>
  <c r="F9" i="5" s="1"/>
  <c r="H8" i="3"/>
  <c r="F8" i="5" s="1"/>
  <c r="H7" i="3"/>
  <c r="F7" i="5" s="1"/>
  <c r="H6" i="3"/>
  <c r="F6" i="5" s="1"/>
  <c r="H5" i="3"/>
  <c r="F5" i="5" s="1"/>
  <c r="H4" i="3"/>
  <c r="F4" i="5" s="1"/>
  <c r="H11" i="2"/>
  <c r="E11" i="5" s="1"/>
  <c r="H10" i="2"/>
  <c r="E10" i="5" s="1"/>
  <c r="H9" i="2"/>
  <c r="E9" i="5" s="1"/>
  <c r="H9" i="5" s="1"/>
  <c r="H8" i="2"/>
  <c r="E8" i="5" s="1"/>
  <c r="H7" i="2"/>
  <c r="E7" i="5" s="1"/>
  <c r="H6" i="2"/>
  <c r="E6" i="5" s="1"/>
  <c r="H5" i="2"/>
  <c r="E5" i="5" s="1"/>
  <c r="H4" i="2"/>
  <c r="E4" i="5" s="1"/>
  <c r="H5" i="5" l="1"/>
  <c r="H8" i="5"/>
  <c r="I8" i="5" s="1"/>
  <c r="H11" i="5"/>
  <c r="L8" i="5"/>
  <c r="A12" i="6"/>
  <c r="H6" i="5"/>
  <c r="A18" i="6"/>
  <c r="I9" i="5"/>
  <c r="I11" i="5"/>
  <c r="I5" i="5"/>
  <c r="I6" i="5"/>
  <c r="H10" i="5"/>
  <c r="H7" i="5"/>
  <c r="O11" i="5" s="1"/>
  <c r="H4" i="5"/>
  <c r="O9" i="5" s="1"/>
  <c r="B14" i="6"/>
  <c r="B11" i="6"/>
  <c r="B17" i="6"/>
  <c r="A13" i="6"/>
  <c r="A16" i="6"/>
  <c r="O6" i="5" l="1"/>
  <c r="O8" i="5"/>
  <c r="O5" i="5"/>
  <c r="O7" i="5"/>
  <c r="I7" i="5"/>
  <c r="M9" i="5"/>
  <c r="N9" i="5" s="1"/>
  <c r="M6" i="5"/>
  <c r="N6" i="5" s="1"/>
  <c r="O4" i="5"/>
  <c r="I4" i="5"/>
  <c r="M10" i="5"/>
  <c r="N10" i="5" s="1"/>
  <c r="M7" i="5"/>
  <c r="N7" i="5" s="1"/>
  <c r="M4" i="5"/>
  <c r="M11" i="5"/>
  <c r="N11" i="5" s="1"/>
  <c r="M8" i="5"/>
  <c r="N8" i="5" s="1"/>
  <c r="M5" i="5"/>
  <c r="N5" i="5" s="1"/>
  <c r="O10" i="5"/>
  <c r="I10" i="5"/>
  <c r="F21" i="7" l="1"/>
  <c r="F20" i="7"/>
  <c r="F19" i="7"/>
  <c r="F18" i="7"/>
  <c r="F17" i="7"/>
  <c r="F16" i="7"/>
  <c r="F15" i="7"/>
  <c r="F14" i="7"/>
  <c r="F7" i="7"/>
  <c r="F6" i="7"/>
  <c r="E21" i="7"/>
  <c r="E20" i="7"/>
  <c r="E19" i="7"/>
  <c r="E18" i="7"/>
  <c r="E17" i="7"/>
  <c r="E16" i="7"/>
  <c r="E15" i="7"/>
  <c r="E14" i="7"/>
  <c r="E7" i="7"/>
  <c r="E6" i="7"/>
  <c r="N4" i="5"/>
  <c r="B16" i="7"/>
  <c r="B6" i="7"/>
  <c r="D21" i="7"/>
  <c r="D20" i="7"/>
  <c r="D19" i="7"/>
  <c r="D18" i="7"/>
  <c r="D17" i="7"/>
  <c r="D16" i="7"/>
  <c r="D15" i="7"/>
  <c r="D14" i="7"/>
  <c r="D7" i="7"/>
  <c r="D6" i="7"/>
  <c r="B21" i="7"/>
  <c r="B20" i="7"/>
  <c r="B19" i="7"/>
  <c r="B18" i="7"/>
  <c r="B17" i="7"/>
  <c r="B15" i="7"/>
  <c r="B14" i="7"/>
  <c r="B7" i="7"/>
  <c r="C21" i="7"/>
  <c r="C20" i="7"/>
  <c r="C19" i="7"/>
  <c r="C18" i="7"/>
  <c r="C17" i="7"/>
  <c r="C16" i="7"/>
  <c r="C15" i="7"/>
  <c r="C14" i="7"/>
  <c r="C7" i="7"/>
  <c r="C6" i="7"/>
  <c r="B7" i="6"/>
  <c r="B8" i="6" s="1"/>
  <c r="A2" i="7" l="1"/>
  <c r="C8" i="6"/>
</calcChain>
</file>

<file path=xl/sharedStrings.xml><?xml version="1.0" encoding="utf-8"?>
<sst xmlns="http://schemas.openxmlformats.org/spreadsheetml/2006/main" count="169" uniqueCount="83">
  <si>
    <t>유공 표창 심사 집계표 (가상 자료 · 연수 예제)</t>
  </si>
  <si>
    <t>노란 칸만 고칩니다. 나머지는 모두 수식입니다.</t>
  </si>
  <si>
    <t>연도</t>
  </si>
  <si>
    <t>심사명</t>
  </si>
  <si>
    <t>인성교육 분야 유공자 표창 추천 대상자 심사</t>
  </si>
  <si>
    <t>추천 인원</t>
  </si>
  <si>
    <t>순위대로 이 인원만큼 추천</t>
  </si>
  <si>
    <t>추첨 번호</t>
  </si>
  <si>
    <t>모든 기준이 같을 때만 씁니다. 심사위원회가 그 자리에서 정한 수를 적고 회의록에 남깁니다.</t>
  </si>
  <si>
    <t>심사 영역</t>
  </si>
  <si>
    <t>배점</t>
  </si>
  <si>
    <t>교육활동 기여도</t>
  </si>
  <si>
    <t>업무 협조도</t>
  </si>
  <si>
    <t>공적 실적</t>
  </si>
  <si>
    <t>동점 처리 순서</t>
  </si>
  <si>
    <t>① 세 위원 점수 합계</t>
  </si>
  <si>
    <t>② 교육활동 기여도 합계</t>
  </si>
  <si>
    <t>③ 공적 실적 합계</t>
  </si>
  <si>
    <t>④ 그래도 같으면 추첨 번호로 추첨 (같은 번호면 언제 열어도 같은 결과)</t>
  </si>
  <si>
    <t>※ 동점 처리 기준은 심사 계획(안)에 미리 적어 둔 순서와 같아야 합니다.</t>
  </si>
  <si>
    <t>위원 1 심사 점수 (가상 자료)</t>
  </si>
  <si>
    <t>올린 파일의 점수를 그대로 옮겼습니다(고치지 않음). 위원 확인 뒤 고칠 때만 노란 칸을 바꿉니다.</t>
  </si>
  <si>
    <t>관리
번호</t>
  </si>
  <si>
    <t>소속</t>
  </si>
  <si>
    <t>직위</t>
  </si>
  <si>
    <t>성명</t>
  </si>
  <si>
    <t>교육활동 기여도
(50)</t>
  </si>
  <si>
    <t>업무 협조도
(30)</t>
  </si>
  <si>
    <t>공적 실적
(20)</t>
  </si>
  <si>
    <t>총점
(100)</t>
  </si>
  <si>
    <t>A초등학교</t>
  </si>
  <si>
    <t>교사</t>
  </si>
  <si>
    <t>후보 가</t>
  </si>
  <si>
    <t>B초등학교</t>
  </si>
  <si>
    <t>수석교사</t>
  </si>
  <si>
    <t>후보 나</t>
  </si>
  <si>
    <t>C초등학교</t>
  </si>
  <si>
    <t>후보 다</t>
  </si>
  <si>
    <t>D중학교</t>
  </si>
  <si>
    <t>후보 라</t>
  </si>
  <si>
    <t>E초등학교</t>
  </si>
  <si>
    <t>교감</t>
  </si>
  <si>
    <t>후보 마</t>
  </si>
  <si>
    <t>F초등학교</t>
  </si>
  <si>
    <t>후보 바</t>
  </si>
  <si>
    <t>G중학교</t>
  </si>
  <si>
    <t>후보 사</t>
  </si>
  <si>
    <t>H초등학교</t>
  </si>
  <si>
    <t>부장교사</t>
  </si>
  <si>
    <t>후보 아</t>
  </si>
  <si>
    <t>위원 2 심사 점수 (가상 자료)</t>
  </si>
  <si>
    <t>위원 3 심사 점수 (가상 자료)</t>
  </si>
  <si>
    <t>심사 집계표</t>
  </si>
  <si>
    <t>모든 칸이 수식입니다. 위원 시트의 점수를 고치면 순위·추천·결과가 다시 계산됩니다.</t>
  </si>
  <si>
    <t>위원1
총점</t>
  </si>
  <si>
    <t>위원2
총점</t>
  </si>
  <si>
    <t>위원3
총점</t>
  </si>
  <si>
    <t>합계
(300)</t>
  </si>
  <si>
    <t>평균
(100)</t>
  </si>
  <si>
    <t>교육활동
합계</t>
  </si>
  <si>
    <t>공적 실적
합계</t>
  </si>
  <si>
    <t>추첨값
(동점 때만)</t>
  </si>
  <si>
    <t>순위</t>
  </si>
  <si>
    <t>추천</t>
  </si>
  <si>
    <t>동점 처리</t>
  </si>
  <si>
    <t>점검</t>
  </si>
  <si>
    <t>0건이어야 결과를 씁니다. 문제가 있으면 위원께 확인한 뒤 위원 시트의 노란 칸을 고칩니다.</t>
  </si>
  <si>
    <t>점검 항목</t>
  </si>
  <si>
    <t>건수</t>
  </si>
  <si>
    <t>설명</t>
  </si>
  <si>
    <t>배점을 넘는 점수</t>
  </si>
  <si>
    <t>영역별 배점(설정 시트)보다 큰 점수</t>
  </si>
  <si>
    <t>빈 칸</t>
  </si>
  <si>
    <t>점수가 비어 있는 칸</t>
  </si>
  <si>
    <t>후보 명단 다름</t>
  </si>
  <si>
    <t>위원 시트끼리 같은 줄의 성명이 다른 곳</t>
  </si>
  <si>
    <t>순위 겹침</t>
  </si>
  <si>
    <t>같은 순위가 두 번 나온 곳</t>
  </si>
  <si>
    <t>합계</t>
  </si>
  <si>
    <t>문제 위치</t>
  </si>
  <si>
    <t>평균</t>
  </si>
  <si>
    <t>전체 순위</t>
  </si>
  <si>
    <t>※ 가상 자료로 만든 연수 예제입니다. 점수는 위원이 매긴 그대로 두고, 이 파일은 집계·점검만 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</si>
</sst>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4">
    <font>
      <sz val="11"/>
      <color theme="1"/>
      <name val="맑은 고딕"/>
      <family val="2"/>
      <scheme val="minor"/>
    </font>
    <font>
      <b/>
      <sz val="15"/>
      <color rgb="FF1F2A44"/>
      <name val="Malgun Gothic"/>
      <family val="3"/>
      <charset val="129"/>
    </font>
    <font>
      <sz val="10"/>
      <color rgb="FF5B6475"/>
      <name val="Malgun Gothic"/>
      <family val="3"/>
      <charset val="129"/>
    </font>
    <font>
      <sz val="11"/>
      <name val="Malgun Gothic"/>
      <family val="3"/>
      <charset val="129"/>
    </font>
    <font>
      <b/>
      <sz val="11"/>
      <name val="Malgun Gothic"/>
      <family val="3"/>
      <charset val="129"/>
    </font>
    <font>
      <b/>
      <sz val="11"/>
      <color rgb="FFFFFFFF"/>
      <name val="Malgun Gothic"/>
      <family val="3"/>
      <charset val="129"/>
    </font>
    <font>
      <b/>
      <sz val="11"/>
      <color rgb="FF1F2A44"/>
      <name val="Malgun Gothic"/>
      <family val="3"/>
      <charset val="129"/>
    </font>
    <font>
      <sz val="10"/>
      <color rgb="FFB83B3B"/>
      <name val="Malgun Gothic"/>
      <family val="3"/>
      <charset val="129"/>
    </font>
    <font>
      <sz val="9"/>
      <color rgb="FF8A93A3"/>
      <name val="Malgun Gothic"/>
      <family val="3"/>
      <charset val="129"/>
    </font>
    <font>
      <b/>
      <sz val="11"/>
      <color rgb="FF1F4FB4"/>
      <name val="Malgun Gothic"/>
      <family val="3"/>
      <charset val="129"/>
    </font>
    <font>
      <sz val="10"/>
      <name val="Malgun Gothic"/>
      <family val="3"/>
      <charset val="129"/>
    </font>
    <font>
      <b/>
      <sz val="10"/>
      <color rgb="FFB00020"/>
      <name val="Malgun Gothic"/>
      <family val="3"/>
      <charset val="129"/>
    </font>
    <font>
      <b/>
      <sz val="11"/>
      <color rgb="FFB00020"/>
      <name val="Malgun Gothic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F2F8"/>
      </patternFill>
    </fill>
    <fill>
      <patternFill patternType="solid">
        <fgColor rgb="FFFFF6D6"/>
      </patternFill>
    </fill>
    <fill>
      <patternFill patternType="solid">
        <fgColor rgb="FF1F2A44"/>
      </patternFill>
    </fill>
  </fills>
  <borders count="2">
    <border>
      <left/>
      <right/>
      <top/>
      <bottom/>
      <diagonal/>
    </border>
    <border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2" fillId="0" borderId="0" xfId="0" applyFont="1"/>
    <xf numFmtId="0" fontId="4" fillId="0" borderId="0" xfId="0" applyFont="1"/>
  </cellXfs>
  <cellStyles count="1">
    <cellStyle name="표준" xfId="0" builtinId="0"/>
  </cellStyles>
  <dxfs count="14">
    <dxf>
      <font>
        <b/>
        <color rgb="FFB00020"/>
        <name val="Malgun Gothic"/>
      </font>
    </dxf>
    <dxf>
      <fill>
        <patternFill patternType="solid">
          <fgColor rgb="FFDCE8FB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ont>
        <b/>
        <color rgb="FFB00020"/>
        <name val="Malgun Gothic"/>
      </font>
      <fill>
        <patternFill patternType="solid">
          <fgColor rgb="FFF8C9C9"/>
        </patternFill>
      </fill>
    </dxf>
    <dxf>
      <fill>
        <patternFill patternType="solid">
          <fgColor rgb="FFF8C9C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/>
  </sheetViews>
  <sheetFormatPr defaultRowHeight="16.5"/>
  <cols>
    <col min="1" max="1" width="16" customWidth="1"/>
    <col min="2" max="2" width="44" customWidth="1"/>
    <col min="3" max="3" width="70" customWidth="1"/>
  </cols>
  <sheetData>
    <row r="1" spans="1:3" ht="24">
      <c r="A1" s="1" t="s">
        <v>0</v>
      </c>
    </row>
    <row r="2" spans="1:3">
      <c r="A2" s="2" t="s">
        <v>1</v>
      </c>
    </row>
    <row r="4" spans="1:3">
      <c r="A4" s="3" t="s">
        <v>2</v>
      </c>
      <c r="B4" s="4">
        <v>2026</v>
      </c>
      <c r="C4" s="2"/>
    </row>
    <row r="5" spans="1:3">
      <c r="A5" s="3" t="s">
        <v>3</v>
      </c>
      <c r="B5" s="4" t="s">
        <v>4</v>
      </c>
      <c r="C5" s="2"/>
    </row>
    <row r="6" spans="1:3">
      <c r="A6" s="3" t="s">
        <v>5</v>
      </c>
      <c r="B6" s="4">
        <v>2</v>
      </c>
      <c r="C6" s="2" t="s">
        <v>6</v>
      </c>
    </row>
    <row r="7" spans="1:3">
      <c r="A7" s="3" t="s">
        <v>7</v>
      </c>
      <c r="B7" s="4">
        <v>7</v>
      </c>
      <c r="C7" s="2" t="s">
        <v>8</v>
      </c>
    </row>
    <row r="9" spans="1:3" ht="33.950000000000003" customHeight="1">
      <c r="A9" s="5" t="s">
        <v>9</v>
      </c>
      <c r="B9" s="5" t="s">
        <v>10</v>
      </c>
    </row>
    <row r="10" spans="1:3">
      <c r="A10" s="6" t="s">
        <v>11</v>
      </c>
      <c r="B10" s="7">
        <v>50</v>
      </c>
    </row>
    <row r="11" spans="1:3">
      <c r="A11" s="6" t="s">
        <v>12</v>
      </c>
      <c r="B11" s="7">
        <v>30</v>
      </c>
    </row>
    <row r="12" spans="1:3">
      <c r="A12" s="6" t="s">
        <v>13</v>
      </c>
      <c r="B12" s="7">
        <v>20</v>
      </c>
    </row>
    <row r="14" spans="1:3">
      <c r="A14" s="8" t="s">
        <v>14</v>
      </c>
    </row>
    <row r="15" spans="1:3">
      <c r="A15" s="9" t="s">
        <v>15</v>
      </c>
    </row>
    <row r="16" spans="1:3">
      <c r="A16" s="9" t="s">
        <v>16</v>
      </c>
    </row>
    <row r="17" spans="1:1">
      <c r="A17" s="9" t="s">
        <v>17</v>
      </c>
    </row>
    <row r="18" spans="1:1">
      <c r="A18" s="9" t="s">
        <v>18</v>
      </c>
    </row>
    <row r="20" spans="1:1">
      <c r="A20" s="10" t="s">
        <v>19</v>
      </c>
    </row>
  </sheetData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4" customWidth="1"/>
    <col min="3" max="4" width="10" customWidth="1"/>
    <col min="5" max="7" width="13" customWidth="1"/>
    <col min="8" max="8" width="10" customWidth="1"/>
  </cols>
  <sheetData>
    <row r="1" spans="1:8" ht="24">
      <c r="A1" s="1" t="s">
        <v>20</v>
      </c>
    </row>
    <row r="2" spans="1:8">
      <c r="A2" s="2" t="s">
        <v>21</v>
      </c>
    </row>
    <row r="3" spans="1:8" ht="33.950000000000003" customHeight="1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</row>
    <row r="4" spans="1:8">
      <c r="A4" s="11">
        <v>1</v>
      </c>
      <c r="B4" s="11" t="s">
        <v>30</v>
      </c>
      <c r="C4" s="11" t="s">
        <v>31</v>
      </c>
      <c r="D4" s="11" t="s">
        <v>32</v>
      </c>
      <c r="E4" s="7">
        <v>44</v>
      </c>
      <c r="F4" s="7">
        <v>28</v>
      </c>
      <c r="G4" s="7">
        <v>18</v>
      </c>
      <c r="H4" s="11">
        <f t="shared" ref="H4:H11" si="0">SUM(E4:G4)</f>
        <v>90</v>
      </c>
    </row>
    <row r="5" spans="1:8">
      <c r="A5" s="11">
        <v>2</v>
      </c>
      <c r="B5" s="11" t="s">
        <v>33</v>
      </c>
      <c r="C5" s="11" t="s">
        <v>34</v>
      </c>
      <c r="D5" s="11" t="s">
        <v>35</v>
      </c>
      <c r="E5" s="7">
        <v>42</v>
      </c>
      <c r="F5" s="7">
        <v>25</v>
      </c>
      <c r="G5" s="7">
        <v>16</v>
      </c>
      <c r="H5" s="11">
        <f t="shared" si="0"/>
        <v>83</v>
      </c>
    </row>
    <row r="6" spans="1:8">
      <c r="A6" s="11">
        <v>3</v>
      </c>
      <c r="B6" s="11" t="s">
        <v>36</v>
      </c>
      <c r="C6" s="11" t="s">
        <v>31</v>
      </c>
      <c r="D6" s="11" t="s">
        <v>37</v>
      </c>
      <c r="E6" s="7">
        <v>46</v>
      </c>
      <c r="F6" s="7">
        <v>28</v>
      </c>
      <c r="G6" s="7">
        <v>18</v>
      </c>
      <c r="H6" s="11">
        <f t="shared" si="0"/>
        <v>92</v>
      </c>
    </row>
    <row r="7" spans="1:8">
      <c r="A7" s="11">
        <v>4</v>
      </c>
      <c r="B7" s="11" t="s">
        <v>38</v>
      </c>
      <c r="C7" s="11" t="s">
        <v>31</v>
      </c>
      <c r="D7" s="11" t="s">
        <v>39</v>
      </c>
      <c r="E7" s="7">
        <v>40</v>
      </c>
      <c r="F7" s="7">
        <v>24</v>
      </c>
      <c r="G7" s="7">
        <v>16</v>
      </c>
      <c r="H7" s="11">
        <f t="shared" si="0"/>
        <v>80</v>
      </c>
    </row>
    <row r="8" spans="1:8">
      <c r="A8" s="11">
        <v>5</v>
      </c>
      <c r="B8" s="11" t="s">
        <v>40</v>
      </c>
      <c r="C8" s="11" t="s">
        <v>41</v>
      </c>
      <c r="D8" s="11" t="s">
        <v>42</v>
      </c>
      <c r="E8" s="7">
        <v>43</v>
      </c>
      <c r="F8" s="7">
        <v>26</v>
      </c>
      <c r="G8" s="7">
        <v>17</v>
      </c>
      <c r="H8" s="11">
        <f t="shared" si="0"/>
        <v>86</v>
      </c>
    </row>
    <row r="9" spans="1:8">
      <c r="A9" s="11">
        <v>6</v>
      </c>
      <c r="B9" s="11" t="s">
        <v>43</v>
      </c>
      <c r="C9" s="11" t="s">
        <v>31</v>
      </c>
      <c r="D9" s="11" t="s">
        <v>44</v>
      </c>
      <c r="E9" s="7">
        <v>46</v>
      </c>
      <c r="F9" s="7">
        <v>26</v>
      </c>
      <c r="G9" s="7">
        <v>17</v>
      </c>
      <c r="H9" s="11">
        <f t="shared" si="0"/>
        <v>89</v>
      </c>
    </row>
    <row r="10" spans="1:8">
      <c r="A10" s="11">
        <v>7</v>
      </c>
      <c r="B10" s="11" t="s">
        <v>45</v>
      </c>
      <c r="C10" s="11" t="s">
        <v>31</v>
      </c>
      <c r="D10" s="11" t="s">
        <v>46</v>
      </c>
      <c r="E10" s="7">
        <v>39</v>
      </c>
      <c r="F10" s="7">
        <v>24</v>
      </c>
      <c r="G10" s="7">
        <v>15</v>
      </c>
      <c r="H10" s="11">
        <f t="shared" si="0"/>
        <v>78</v>
      </c>
    </row>
    <row r="11" spans="1:8">
      <c r="A11" s="11">
        <v>8</v>
      </c>
      <c r="B11" s="11" t="s">
        <v>47</v>
      </c>
      <c r="C11" s="11" t="s">
        <v>48</v>
      </c>
      <c r="D11" s="11" t="s">
        <v>49</v>
      </c>
      <c r="E11" s="7">
        <v>41</v>
      </c>
      <c r="F11" s="7">
        <v>26</v>
      </c>
      <c r="G11" s="7">
        <v>17</v>
      </c>
      <c r="H11" s="11">
        <f t="shared" si="0"/>
        <v>84</v>
      </c>
    </row>
  </sheetData>
  <phoneticPr fontId="13" type="noConversion"/>
  <conditionalFormatting sqref="E4:G11">
    <cfRule type="expression" dxfId="13" priority="1">
      <formula>ISBLANK(E4)</formula>
    </cfRule>
  </conditionalFormatting>
  <conditionalFormatting sqref="E4:E11">
    <cfRule type="cellIs" dxfId="12" priority="2" operator="greaterThan">
      <formula>배점1</formula>
    </cfRule>
  </conditionalFormatting>
  <conditionalFormatting sqref="F4:F11">
    <cfRule type="cellIs" dxfId="11" priority="3" operator="greaterThan">
      <formula>배점2</formula>
    </cfRule>
  </conditionalFormatting>
  <conditionalFormatting sqref="G4:G11">
    <cfRule type="cellIs" dxfId="10" priority="4" operator="greaterThan">
      <formula>배점3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4" customWidth="1"/>
    <col min="3" max="4" width="10" customWidth="1"/>
    <col min="5" max="7" width="13" customWidth="1"/>
    <col min="8" max="8" width="10" customWidth="1"/>
  </cols>
  <sheetData>
    <row r="1" spans="1:8" ht="24">
      <c r="A1" s="1" t="s">
        <v>50</v>
      </c>
    </row>
    <row r="2" spans="1:8">
      <c r="A2" s="2" t="s">
        <v>21</v>
      </c>
    </row>
    <row r="3" spans="1:8" ht="33.950000000000003" customHeight="1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</row>
    <row r="4" spans="1:8">
      <c r="A4" s="11">
        <v>1</v>
      </c>
      <c r="B4" s="11" t="s">
        <v>30</v>
      </c>
      <c r="C4" s="11" t="s">
        <v>31</v>
      </c>
      <c r="D4" s="11" t="s">
        <v>32</v>
      </c>
      <c r="E4" s="7">
        <v>44</v>
      </c>
      <c r="F4" s="7">
        <v>26</v>
      </c>
      <c r="G4" s="7">
        <v>18</v>
      </c>
      <c r="H4" s="11">
        <f t="shared" ref="H4:H11" si="0">SUM(E4:G4)</f>
        <v>88</v>
      </c>
    </row>
    <row r="5" spans="1:8">
      <c r="A5" s="11">
        <v>2</v>
      </c>
      <c r="B5" s="11" t="s">
        <v>33</v>
      </c>
      <c r="C5" s="11" t="s">
        <v>34</v>
      </c>
      <c r="D5" s="11" t="s">
        <v>35</v>
      </c>
      <c r="E5" s="7">
        <v>41</v>
      </c>
      <c r="F5" s="7">
        <v>24</v>
      </c>
      <c r="G5" s="7">
        <v>17</v>
      </c>
      <c r="H5" s="11">
        <f t="shared" si="0"/>
        <v>82</v>
      </c>
    </row>
    <row r="6" spans="1:8">
      <c r="A6" s="11">
        <v>3</v>
      </c>
      <c r="B6" s="11" t="s">
        <v>36</v>
      </c>
      <c r="C6" s="11" t="s">
        <v>31</v>
      </c>
      <c r="D6" s="11" t="s">
        <v>37</v>
      </c>
      <c r="E6" s="7">
        <v>45</v>
      </c>
      <c r="F6" s="7">
        <v>27</v>
      </c>
      <c r="G6" s="7">
        <v>18</v>
      </c>
      <c r="H6" s="11">
        <f t="shared" si="0"/>
        <v>90</v>
      </c>
    </row>
    <row r="7" spans="1:8">
      <c r="A7" s="11">
        <v>4</v>
      </c>
      <c r="B7" s="11" t="s">
        <v>38</v>
      </c>
      <c r="C7" s="11" t="s">
        <v>31</v>
      </c>
      <c r="D7" s="11" t="s">
        <v>39</v>
      </c>
      <c r="E7" s="7">
        <v>41</v>
      </c>
      <c r="F7" s="7">
        <v>23</v>
      </c>
      <c r="G7" s="7">
        <v>15</v>
      </c>
      <c r="H7" s="11">
        <f t="shared" si="0"/>
        <v>79</v>
      </c>
    </row>
    <row r="8" spans="1:8">
      <c r="A8" s="11">
        <v>5</v>
      </c>
      <c r="B8" s="11" t="s">
        <v>40</v>
      </c>
      <c r="C8" s="11" t="s">
        <v>41</v>
      </c>
      <c r="D8" s="11" t="s">
        <v>42</v>
      </c>
      <c r="E8" s="7">
        <v>42</v>
      </c>
      <c r="F8" s="7">
        <v>36</v>
      </c>
      <c r="G8" s="7">
        <v>17</v>
      </c>
      <c r="H8" s="11">
        <f t="shared" si="0"/>
        <v>95</v>
      </c>
    </row>
    <row r="9" spans="1:8">
      <c r="A9" s="11">
        <v>6</v>
      </c>
      <c r="B9" s="11" t="s">
        <v>43</v>
      </c>
      <c r="C9" s="11" t="s">
        <v>31</v>
      </c>
      <c r="D9" s="11" t="s">
        <v>44</v>
      </c>
      <c r="E9" s="7">
        <v>44</v>
      </c>
      <c r="F9" s="7">
        <v>26</v>
      </c>
      <c r="G9" s="7">
        <v>17</v>
      </c>
      <c r="H9" s="11">
        <f t="shared" si="0"/>
        <v>87</v>
      </c>
    </row>
    <row r="10" spans="1:8">
      <c r="A10" s="11">
        <v>7</v>
      </c>
      <c r="B10" s="11" t="s">
        <v>45</v>
      </c>
      <c r="C10" s="11" t="s">
        <v>31</v>
      </c>
      <c r="D10" s="11" t="s">
        <v>46</v>
      </c>
      <c r="E10" s="7">
        <v>40</v>
      </c>
      <c r="F10" s="7">
        <v>23</v>
      </c>
      <c r="G10" s="7">
        <v>15</v>
      </c>
      <c r="H10" s="11">
        <f t="shared" si="0"/>
        <v>78</v>
      </c>
    </row>
    <row r="11" spans="1:8">
      <c r="A11" s="11">
        <v>8</v>
      </c>
      <c r="B11" s="11" t="s">
        <v>47</v>
      </c>
      <c r="C11" s="11" t="s">
        <v>48</v>
      </c>
      <c r="D11" s="11" t="s">
        <v>49</v>
      </c>
      <c r="E11" s="7">
        <v>43</v>
      </c>
      <c r="F11" s="7">
        <v>25</v>
      </c>
      <c r="G11" s="7">
        <v>16</v>
      </c>
      <c r="H11" s="11">
        <f t="shared" si="0"/>
        <v>84</v>
      </c>
    </row>
  </sheetData>
  <phoneticPr fontId="13" type="noConversion"/>
  <conditionalFormatting sqref="E4:G11">
    <cfRule type="expression" dxfId="9" priority="1">
      <formula>ISBLANK(E4)</formula>
    </cfRule>
  </conditionalFormatting>
  <conditionalFormatting sqref="E4:E11">
    <cfRule type="cellIs" dxfId="8" priority="2" operator="greaterThan">
      <formula>배점1</formula>
    </cfRule>
  </conditionalFormatting>
  <conditionalFormatting sqref="F4:F11">
    <cfRule type="cellIs" dxfId="7" priority="3" operator="greaterThan">
      <formula>배점2</formula>
    </cfRule>
  </conditionalFormatting>
  <conditionalFormatting sqref="G4:G11">
    <cfRule type="cellIs" dxfId="6" priority="4" operator="greaterThan">
      <formula>배점3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4" customWidth="1"/>
    <col min="3" max="4" width="10" customWidth="1"/>
    <col min="5" max="7" width="13" customWidth="1"/>
    <col min="8" max="8" width="10" customWidth="1"/>
  </cols>
  <sheetData>
    <row r="1" spans="1:8" ht="24">
      <c r="A1" s="1" t="s">
        <v>51</v>
      </c>
    </row>
    <row r="2" spans="1:8">
      <c r="A2" s="2" t="s">
        <v>21</v>
      </c>
    </row>
    <row r="3" spans="1:8" ht="33.950000000000003" customHeight="1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</row>
    <row r="4" spans="1:8">
      <c r="A4" s="11">
        <v>1</v>
      </c>
      <c r="B4" s="11" t="s">
        <v>30</v>
      </c>
      <c r="C4" s="11" t="s">
        <v>31</v>
      </c>
      <c r="D4" s="11" t="s">
        <v>32</v>
      </c>
      <c r="E4" s="7">
        <v>45</v>
      </c>
      <c r="F4" s="7">
        <v>25</v>
      </c>
      <c r="G4" s="7">
        <v>17</v>
      </c>
      <c r="H4" s="11">
        <f t="shared" ref="H4:H11" si="0">SUM(E4:G4)</f>
        <v>87</v>
      </c>
    </row>
    <row r="5" spans="1:8">
      <c r="A5" s="11">
        <v>2</v>
      </c>
      <c r="B5" s="11" t="s">
        <v>33</v>
      </c>
      <c r="C5" s="11" t="s">
        <v>34</v>
      </c>
      <c r="D5" s="11" t="s">
        <v>35</v>
      </c>
      <c r="E5" s="7">
        <v>43</v>
      </c>
      <c r="F5" s="7">
        <v>26</v>
      </c>
      <c r="G5" s="7">
        <v>16</v>
      </c>
      <c r="H5" s="11">
        <f t="shared" si="0"/>
        <v>85</v>
      </c>
    </row>
    <row r="6" spans="1:8">
      <c r="A6" s="11">
        <v>3</v>
      </c>
      <c r="B6" s="11" t="s">
        <v>36</v>
      </c>
      <c r="C6" s="11" t="s">
        <v>31</v>
      </c>
      <c r="D6" s="11" t="s">
        <v>37</v>
      </c>
      <c r="E6" s="7">
        <v>45</v>
      </c>
      <c r="F6" s="7">
        <v>27</v>
      </c>
      <c r="G6" s="7">
        <v>18</v>
      </c>
      <c r="H6" s="11">
        <f t="shared" si="0"/>
        <v>90</v>
      </c>
    </row>
    <row r="7" spans="1:8">
      <c r="A7" s="11">
        <v>4</v>
      </c>
      <c r="B7" s="11" t="s">
        <v>38</v>
      </c>
      <c r="C7" s="11" t="s">
        <v>31</v>
      </c>
      <c r="D7" s="11" t="s">
        <v>39</v>
      </c>
      <c r="E7" s="7">
        <v>41</v>
      </c>
      <c r="F7" s="7">
        <v>25</v>
      </c>
      <c r="G7" s="7">
        <v>16</v>
      </c>
      <c r="H7" s="11">
        <f t="shared" si="0"/>
        <v>82</v>
      </c>
    </row>
    <row r="8" spans="1:8">
      <c r="A8" s="11">
        <v>5</v>
      </c>
      <c r="B8" s="11" t="s">
        <v>40</v>
      </c>
      <c r="C8" s="11" t="s">
        <v>41</v>
      </c>
      <c r="D8" s="11" t="s">
        <v>42</v>
      </c>
      <c r="E8" s="7">
        <v>44</v>
      </c>
      <c r="F8" s="7">
        <v>26</v>
      </c>
      <c r="G8" s="7">
        <v>17</v>
      </c>
      <c r="H8" s="11">
        <f t="shared" si="0"/>
        <v>87</v>
      </c>
    </row>
    <row r="9" spans="1:8">
      <c r="A9" s="11">
        <v>6</v>
      </c>
      <c r="B9" s="11" t="s">
        <v>43</v>
      </c>
      <c r="C9" s="11" t="s">
        <v>31</v>
      </c>
      <c r="D9" s="11" t="s">
        <v>44</v>
      </c>
      <c r="E9" s="7">
        <v>45</v>
      </c>
      <c r="F9" s="7">
        <v>27</v>
      </c>
      <c r="G9" s="7">
        <v>17</v>
      </c>
      <c r="H9" s="11">
        <f t="shared" si="0"/>
        <v>89</v>
      </c>
    </row>
    <row r="10" spans="1:8">
      <c r="A10" s="11">
        <v>7</v>
      </c>
      <c r="B10" s="11" t="s">
        <v>45</v>
      </c>
      <c r="C10" s="11" t="s">
        <v>31</v>
      </c>
      <c r="D10" s="11" t="s">
        <v>46</v>
      </c>
      <c r="E10" s="7">
        <v>40</v>
      </c>
      <c r="F10" s="7">
        <v>25</v>
      </c>
      <c r="G10" s="7">
        <v>15</v>
      </c>
      <c r="H10" s="11">
        <f t="shared" si="0"/>
        <v>80</v>
      </c>
    </row>
    <row r="11" spans="1:8">
      <c r="A11" s="11">
        <v>8</v>
      </c>
      <c r="B11" s="11" t="s">
        <v>47</v>
      </c>
      <c r="C11" s="11" t="s">
        <v>48</v>
      </c>
      <c r="D11" s="11" t="s">
        <v>49</v>
      </c>
      <c r="E11" s="7">
        <v>42</v>
      </c>
      <c r="F11" s="7">
        <v>24</v>
      </c>
      <c r="G11" s="7">
        <v>16</v>
      </c>
      <c r="H11" s="11">
        <f t="shared" si="0"/>
        <v>82</v>
      </c>
    </row>
  </sheetData>
  <phoneticPr fontId="13" type="noConversion"/>
  <conditionalFormatting sqref="E4:G11">
    <cfRule type="expression" dxfId="5" priority="1">
      <formula>ISBLANK(E4)</formula>
    </cfRule>
  </conditionalFormatting>
  <conditionalFormatting sqref="E4:E11">
    <cfRule type="cellIs" dxfId="4" priority="2" operator="greaterThan">
      <formula>배점1</formula>
    </cfRule>
  </conditionalFormatting>
  <conditionalFormatting sqref="F4:F11">
    <cfRule type="cellIs" dxfId="3" priority="3" operator="greaterThan">
      <formula>배점2</formula>
    </cfRule>
  </conditionalFormatting>
  <conditionalFormatting sqref="G4:G11">
    <cfRule type="cellIs" dxfId="2" priority="4" operator="greaterThan">
      <formula>배점3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1"/>
  <sheetViews>
    <sheetView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6.5"/>
  <cols>
    <col min="1" max="1" width="7" customWidth="1"/>
    <col min="2" max="2" width="13" customWidth="1"/>
    <col min="3" max="4" width="10" customWidth="1"/>
    <col min="5" max="9" width="9" customWidth="1"/>
    <col min="10" max="11" width="10" customWidth="1"/>
    <col min="12" max="12" width="11" customWidth="1"/>
    <col min="13" max="14" width="7" customWidth="1"/>
    <col min="15" max="16" width="30" customWidth="1"/>
  </cols>
  <sheetData>
    <row r="1" spans="1:16" ht="24">
      <c r="A1" s="1" t="s">
        <v>52</v>
      </c>
    </row>
    <row r="2" spans="1:16">
      <c r="A2" s="2" t="s">
        <v>53</v>
      </c>
    </row>
    <row r="3" spans="1:16" ht="33.950000000000003" customHeight="1">
      <c r="A3" s="5" t="s">
        <v>22</v>
      </c>
      <c r="B3" s="5" t="s">
        <v>23</v>
      </c>
      <c r="C3" s="5" t="s">
        <v>24</v>
      </c>
      <c r="D3" s="5" t="s">
        <v>25</v>
      </c>
      <c r="E3" s="5" t="s">
        <v>54</v>
      </c>
      <c r="F3" s="5" t="s">
        <v>55</v>
      </c>
      <c r="G3" s="5" t="s">
        <v>56</v>
      </c>
      <c r="H3" s="5" t="s">
        <v>57</v>
      </c>
      <c r="I3" s="5" t="s">
        <v>58</v>
      </c>
      <c r="J3" s="5" t="s">
        <v>59</v>
      </c>
      <c r="K3" s="5" t="s">
        <v>60</v>
      </c>
      <c r="L3" s="5" t="s">
        <v>61</v>
      </c>
      <c r="M3" s="5" t="s">
        <v>62</v>
      </c>
      <c r="N3" s="5" t="s">
        <v>63</v>
      </c>
      <c r="O3" s="5" t="s">
        <v>64</v>
      </c>
      <c r="P3" s="5" t="s">
        <v>65</v>
      </c>
    </row>
    <row r="4" spans="1:16">
      <c r="A4" s="11">
        <f>위원1!A4</f>
        <v>1</v>
      </c>
      <c r="B4" s="11" t="str">
        <f>위원1!B4</f>
        <v>A초등학교</v>
      </c>
      <c r="C4" s="11" t="str">
        <f>위원1!C4</f>
        <v>교사</v>
      </c>
      <c r="D4" s="11" t="str">
        <f>위원1!D4</f>
        <v>후보 가</v>
      </c>
      <c r="E4" s="11">
        <f>위원1!H4</f>
        <v>90</v>
      </c>
      <c r="F4" s="11">
        <f>위원2!H4</f>
        <v>88</v>
      </c>
      <c r="G4" s="11">
        <f>위원3!H4</f>
        <v>87</v>
      </c>
      <c r="H4" s="11">
        <f t="shared" ref="H4:H11" si="0">SUM(E4:G4)</f>
        <v>265</v>
      </c>
      <c r="I4" s="12">
        <f t="shared" ref="I4:I11" si="1">ROUND(H4/3,2)</f>
        <v>88.33</v>
      </c>
      <c r="J4" s="11">
        <f>위원1!E4+위원2!E4+위원3!E4</f>
        <v>133</v>
      </c>
      <c r="K4" s="11">
        <f>위원1!G4+위원2!G4+위원3!G4</f>
        <v>53</v>
      </c>
      <c r="L4" s="13">
        <f t="shared" ref="L4:L11" si="2">MOD(SIN(추첨번호*12.9898+A4*78.233)*43758.5453,1)</f>
        <v>0.50375589028044487</v>
      </c>
      <c r="M4" s="14">
        <f t="shared" ref="M4:M11" si="3">1+SUMPRODUCT(($H$4:$H$11&gt;H4)+($H$4:$H$11=H4)*($J$4:$J$11&gt;J4)+($H$4:$H$11=H4)*($J$4:$J$11=J4)*($K$4:$K$11&gt;K4)+($H$4:$H$11=H4)*($J$4:$J$11=J4)*($K$4:$K$11=K4)*($L$4:$L$11&gt;L4))</f>
        <v>4</v>
      </c>
      <c r="N4" s="15" t="str">
        <f t="shared" ref="N4:N11" si="4">IF(M4&lt;=추천인원,"추천","")</f>
        <v/>
      </c>
      <c r="O4" s="16" t="str">
        <f t="shared" ref="O4:O11" si="5">IF(COUNTIF($H$4:$H$11,H4)=1,"",IF(COUNTIFS($H$4:$H$11,H4,$J$4:$J$11,J4)=1,"합계 같음 → 교육활동 기여도로",IF(COUNTIFS($H$4:$H$11,H4,$J$4:$J$11,J4,$K$4:$K$11,K4)=1,"합계·교육활동 같음 → 공적 실적으로","모든 기준 같음 → 추첨 번호 "&amp;추첨번호&amp;"로")))</f>
        <v>합계 같음 → 교육활동 기여도로</v>
      </c>
      <c r="P4" s="17" t="str">
        <f>TRIM(IF(위원1!E4="","위원1 교육활동 기여도 빈칸 ","")&amp;IF(위원1!E4&gt;배점1,"위원1 교육활동 기여도 "&amp;위원1!E4&amp;"점(배점 "&amp;배점1&amp;" 초과) ","")&amp;IF(위원1!F4="","위원1 업무 협조도 빈칸 ","")&amp;IF(위원1!F4&gt;배점2,"위원1 업무 협조도 "&amp;위원1!F4&amp;"점(배점 "&amp;배점2&amp;" 초과) ","")&amp;IF(위원1!G4="","위원1 공적 실적 빈칸 ","")&amp;IF(위원1!G4&gt;배점3,"위원1 공적 실적 "&amp;위원1!G4&amp;"점(배점 "&amp;배점3&amp;" 초과) ","")&amp;IF(위원2!E4="","위원2 교육활동 기여도 빈칸 ","")&amp;IF(위원2!E4&gt;배점1,"위원2 교육활동 기여도 "&amp;위원2!E4&amp;"점(배점 "&amp;배점1&amp;" 초과) ","")&amp;IF(위원2!F4="","위원2 업무 협조도 빈칸 ","")&amp;IF(위원2!F4&gt;배점2,"위원2 업무 협조도 "&amp;위원2!F4&amp;"점(배점 "&amp;배점2&amp;" 초과) ","")&amp;IF(위원2!G4="","위원2 공적 실적 빈칸 ","")&amp;IF(위원2!G4&gt;배점3,"위원2 공적 실적 "&amp;위원2!G4&amp;"점(배점 "&amp;배점3&amp;" 초과) ","")&amp;IF(위원3!E4="","위원3 교육활동 기여도 빈칸 ","")&amp;IF(위원3!E4&gt;배점1,"위원3 교육활동 기여도 "&amp;위원3!E4&amp;"점(배점 "&amp;배점1&amp;" 초과) ","")&amp;IF(위원3!F4="","위원3 업무 협조도 빈칸 ","")&amp;IF(위원3!F4&gt;배점2,"위원3 업무 협조도 "&amp;위원3!F4&amp;"점(배점 "&amp;배점2&amp;" 초과) ","")&amp;IF(위원3!G4="","위원3 공적 실적 빈칸 ","")&amp;IF(위원3!G4&gt;배점3,"위원3 공적 실적 "&amp;위원3!G4&amp;"점(배점 "&amp;배점3&amp;" 초과) ","")&amp;IF(OR(위원1!D4&lt;&gt;위원2!D4,위원1!D4&lt;&gt;위원3!D4),"위원 시트끼리 성명 다름 ",""))</f>
        <v/>
      </c>
    </row>
    <row r="5" spans="1:16">
      <c r="A5" s="11">
        <f>위원1!A5</f>
        <v>2</v>
      </c>
      <c r="B5" s="11" t="str">
        <f>위원1!B5</f>
        <v>B초등학교</v>
      </c>
      <c r="C5" s="11" t="str">
        <f>위원1!C5</f>
        <v>수석교사</v>
      </c>
      <c r="D5" s="11" t="str">
        <f>위원1!D5</f>
        <v>후보 나</v>
      </c>
      <c r="E5" s="11">
        <f>위원1!H5</f>
        <v>83</v>
      </c>
      <c r="F5" s="11">
        <f>위원2!H5</f>
        <v>82</v>
      </c>
      <c r="G5" s="11">
        <f>위원3!H5</f>
        <v>85</v>
      </c>
      <c r="H5" s="11">
        <f t="shared" si="0"/>
        <v>250</v>
      </c>
      <c r="I5" s="12">
        <f t="shared" si="1"/>
        <v>83.33</v>
      </c>
      <c r="J5" s="11">
        <f>위원1!E5+위원2!E5+위원3!E5</f>
        <v>126</v>
      </c>
      <c r="K5" s="11">
        <f>위원1!G5+위원2!G5+위원3!G5</f>
        <v>49</v>
      </c>
      <c r="L5" s="13">
        <f t="shared" si="2"/>
        <v>0.56651839775076951</v>
      </c>
      <c r="M5" s="14">
        <f t="shared" si="3"/>
        <v>6</v>
      </c>
      <c r="N5" s="15" t="str">
        <f t="shared" si="4"/>
        <v/>
      </c>
      <c r="O5" s="16" t="str">
        <f t="shared" si="5"/>
        <v>모든 기준 같음 → 추첨 번호 7로</v>
      </c>
      <c r="P5" s="17" t="str">
        <f>TRIM(IF(위원1!E5="","위원1 교육활동 기여도 빈칸 ","")&amp;IF(위원1!E5&gt;배점1,"위원1 교육활동 기여도 "&amp;위원1!E5&amp;"점(배점 "&amp;배점1&amp;" 초과) ","")&amp;IF(위원1!F5="","위원1 업무 협조도 빈칸 ","")&amp;IF(위원1!F5&gt;배점2,"위원1 업무 협조도 "&amp;위원1!F5&amp;"점(배점 "&amp;배점2&amp;" 초과) ","")&amp;IF(위원1!G5="","위원1 공적 실적 빈칸 ","")&amp;IF(위원1!G5&gt;배점3,"위원1 공적 실적 "&amp;위원1!G5&amp;"점(배점 "&amp;배점3&amp;" 초과) ","")&amp;IF(위원2!E5="","위원2 교육활동 기여도 빈칸 ","")&amp;IF(위원2!E5&gt;배점1,"위원2 교육활동 기여도 "&amp;위원2!E5&amp;"점(배점 "&amp;배점1&amp;" 초과) ","")&amp;IF(위원2!F5="","위원2 업무 협조도 빈칸 ","")&amp;IF(위원2!F5&gt;배점2,"위원2 업무 협조도 "&amp;위원2!F5&amp;"점(배점 "&amp;배점2&amp;" 초과) ","")&amp;IF(위원2!G5="","위원2 공적 실적 빈칸 ","")&amp;IF(위원2!G5&gt;배점3,"위원2 공적 실적 "&amp;위원2!G5&amp;"점(배점 "&amp;배점3&amp;" 초과) ","")&amp;IF(위원3!E5="","위원3 교육활동 기여도 빈칸 ","")&amp;IF(위원3!E5&gt;배점1,"위원3 교육활동 기여도 "&amp;위원3!E5&amp;"점(배점 "&amp;배점1&amp;" 초과) ","")&amp;IF(위원3!F5="","위원3 업무 협조도 빈칸 ","")&amp;IF(위원3!F5&gt;배점2,"위원3 업무 협조도 "&amp;위원3!F5&amp;"점(배점 "&amp;배점2&amp;" 초과) ","")&amp;IF(위원3!G5="","위원3 공적 실적 빈칸 ","")&amp;IF(위원3!G5&gt;배점3,"위원3 공적 실적 "&amp;위원3!G5&amp;"점(배점 "&amp;배점3&amp;" 초과) ","")&amp;IF(OR(위원1!D5&lt;&gt;위원2!D5,위원1!D5&lt;&gt;위원3!D5),"위원 시트끼리 성명 다름 ",""))</f>
        <v/>
      </c>
    </row>
    <row r="6" spans="1:16">
      <c r="A6" s="11">
        <f>위원1!A6</f>
        <v>3</v>
      </c>
      <c r="B6" s="11" t="str">
        <f>위원1!B6</f>
        <v>C초등학교</v>
      </c>
      <c r="C6" s="11" t="str">
        <f>위원1!C6</f>
        <v>교사</v>
      </c>
      <c r="D6" s="11" t="str">
        <f>위원1!D6</f>
        <v>후보 다</v>
      </c>
      <c r="E6" s="11">
        <f>위원1!H6</f>
        <v>92</v>
      </c>
      <c r="F6" s="11">
        <f>위원2!H6</f>
        <v>90</v>
      </c>
      <c r="G6" s="11">
        <f>위원3!H6</f>
        <v>90</v>
      </c>
      <c r="H6" s="11">
        <f t="shared" si="0"/>
        <v>272</v>
      </c>
      <c r="I6" s="12">
        <f t="shared" si="1"/>
        <v>90.67</v>
      </c>
      <c r="J6" s="11">
        <f>위원1!E6+위원2!E6+위원3!E6</f>
        <v>136</v>
      </c>
      <c r="K6" s="11">
        <f>위원1!G6+위원2!G6+위원3!G6</f>
        <v>54</v>
      </c>
      <c r="L6" s="13">
        <f t="shared" si="2"/>
        <v>0.12094192834047135</v>
      </c>
      <c r="M6" s="14">
        <f t="shared" si="3"/>
        <v>1</v>
      </c>
      <c r="N6" s="15" t="str">
        <f t="shared" si="4"/>
        <v>추천</v>
      </c>
      <c r="O6" s="16" t="str">
        <f t="shared" si="5"/>
        <v/>
      </c>
      <c r="P6" s="17" t="str">
        <f>TRIM(IF(위원1!E6="","위원1 교육활동 기여도 빈칸 ","")&amp;IF(위원1!E6&gt;배점1,"위원1 교육활동 기여도 "&amp;위원1!E6&amp;"점(배점 "&amp;배점1&amp;" 초과) ","")&amp;IF(위원1!F6="","위원1 업무 협조도 빈칸 ","")&amp;IF(위원1!F6&gt;배점2,"위원1 업무 협조도 "&amp;위원1!F6&amp;"점(배점 "&amp;배점2&amp;" 초과) ","")&amp;IF(위원1!G6="","위원1 공적 실적 빈칸 ","")&amp;IF(위원1!G6&gt;배점3,"위원1 공적 실적 "&amp;위원1!G6&amp;"점(배점 "&amp;배점3&amp;" 초과) ","")&amp;IF(위원2!E6="","위원2 교육활동 기여도 빈칸 ","")&amp;IF(위원2!E6&gt;배점1,"위원2 교육활동 기여도 "&amp;위원2!E6&amp;"점(배점 "&amp;배점1&amp;" 초과) ","")&amp;IF(위원2!F6="","위원2 업무 협조도 빈칸 ","")&amp;IF(위원2!F6&gt;배점2,"위원2 업무 협조도 "&amp;위원2!F6&amp;"점(배점 "&amp;배점2&amp;" 초과) ","")&amp;IF(위원2!G6="","위원2 공적 실적 빈칸 ","")&amp;IF(위원2!G6&gt;배점3,"위원2 공적 실적 "&amp;위원2!G6&amp;"점(배점 "&amp;배점3&amp;" 초과) ","")&amp;IF(위원3!E6="","위원3 교육활동 기여도 빈칸 ","")&amp;IF(위원3!E6&gt;배점1,"위원3 교육활동 기여도 "&amp;위원3!E6&amp;"점(배점 "&amp;배점1&amp;" 초과) ","")&amp;IF(위원3!F6="","위원3 업무 협조도 빈칸 ","")&amp;IF(위원3!F6&gt;배점2,"위원3 업무 협조도 "&amp;위원3!F6&amp;"점(배점 "&amp;배점2&amp;" 초과) ","")&amp;IF(위원3!G6="","위원3 공적 실적 빈칸 ","")&amp;IF(위원3!G6&gt;배점3,"위원3 공적 실적 "&amp;위원3!G6&amp;"점(배점 "&amp;배점3&amp;" 초과) ","")&amp;IF(OR(위원1!D6&lt;&gt;위원2!D6,위원1!D6&lt;&gt;위원3!D6),"위원 시트끼리 성명 다름 ",""))</f>
        <v/>
      </c>
    </row>
    <row r="7" spans="1:16">
      <c r="A7" s="11">
        <f>위원1!A7</f>
        <v>4</v>
      </c>
      <c r="B7" s="11" t="str">
        <f>위원1!B7</f>
        <v>D중학교</v>
      </c>
      <c r="C7" s="11" t="str">
        <f>위원1!C7</f>
        <v>교사</v>
      </c>
      <c r="D7" s="11" t="str">
        <f>위원1!D7</f>
        <v>후보 라</v>
      </c>
      <c r="E7" s="11">
        <f>위원1!H7</f>
        <v>80</v>
      </c>
      <c r="F7" s="11">
        <f>위원2!H7</f>
        <v>79</v>
      </c>
      <c r="G7" s="11">
        <f>위원3!H7</f>
        <v>82</v>
      </c>
      <c r="H7" s="11">
        <f t="shared" si="0"/>
        <v>241</v>
      </c>
      <c r="I7" s="12">
        <f t="shared" si="1"/>
        <v>80.33</v>
      </c>
      <c r="J7" s="11">
        <f>위원1!E7+위원2!E7+위원3!E7</f>
        <v>122</v>
      </c>
      <c r="K7" s="11">
        <f>위원1!G7+위원2!G7+위원3!G7</f>
        <v>47</v>
      </c>
      <c r="L7" s="13">
        <f t="shared" si="2"/>
        <v>0.4280102185512078</v>
      </c>
      <c r="M7" s="14">
        <f t="shared" si="3"/>
        <v>7</v>
      </c>
      <c r="N7" s="15" t="str">
        <f t="shared" si="4"/>
        <v/>
      </c>
      <c r="O7" s="16" t="str">
        <f t="shared" si="5"/>
        <v/>
      </c>
      <c r="P7" s="17" t="str">
        <f>TRIM(IF(위원1!E7="","위원1 교육활동 기여도 빈칸 ","")&amp;IF(위원1!E7&gt;배점1,"위원1 교육활동 기여도 "&amp;위원1!E7&amp;"점(배점 "&amp;배점1&amp;" 초과) ","")&amp;IF(위원1!F7="","위원1 업무 협조도 빈칸 ","")&amp;IF(위원1!F7&gt;배점2,"위원1 업무 협조도 "&amp;위원1!F7&amp;"점(배점 "&amp;배점2&amp;" 초과) ","")&amp;IF(위원1!G7="","위원1 공적 실적 빈칸 ","")&amp;IF(위원1!G7&gt;배점3,"위원1 공적 실적 "&amp;위원1!G7&amp;"점(배점 "&amp;배점3&amp;" 초과) ","")&amp;IF(위원2!E7="","위원2 교육활동 기여도 빈칸 ","")&amp;IF(위원2!E7&gt;배점1,"위원2 교육활동 기여도 "&amp;위원2!E7&amp;"점(배점 "&amp;배점1&amp;" 초과) ","")&amp;IF(위원2!F7="","위원2 업무 협조도 빈칸 ","")&amp;IF(위원2!F7&gt;배점2,"위원2 업무 협조도 "&amp;위원2!F7&amp;"점(배점 "&amp;배점2&amp;" 초과) ","")&amp;IF(위원2!G7="","위원2 공적 실적 빈칸 ","")&amp;IF(위원2!G7&gt;배점3,"위원2 공적 실적 "&amp;위원2!G7&amp;"점(배점 "&amp;배점3&amp;" 초과) ","")&amp;IF(위원3!E7="","위원3 교육활동 기여도 빈칸 ","")&amp;IF(위원3!E7&gt;배점1,"위원3 교육활동 기여도 "&amp;위원3!E7&amp;"점(배점 "&amp;배점1&amp;" 초과) ","")&amp;IF(위원3!F7="","위원3 업무 협조도 빈칸 ","")&amp;IF(위원3!F7&gt;배점2,"위원3 업무 협조도 "&amp;위원3!F7&amp;"점(배점 "&amp;배점2&amp;" 초과) ","")&amp;IF(위원3!G7="","위원3 공적 실적 빈칸 ","")&amp;IF(위원3!G7&gt;배점3,"위원3 공적 실적 "&amp;위원3!G7&amp;"점(배점 "&amp;배점3&amp;" 초과) ","")&amp;IF(OR(위원1!D7&lt;&gt;위원2!D7,위원1!D7&lt;&gt;위원3!D7),"위원 시트끼리 성명 다름 ",""))</f>
        <v/>
      </c>
    </row>
    <row r="8" spans="1:16">
      <c r="A8" s="11">
        <f>위원1!A8</f>
        <v>5</v>
      </c>
      <c r="B8" s="11" t="str">
        <f>위원1!B8</f>
        <v>E초등학교</v>
      </c>
      <c r="C8" s="11" t="str">
        <f>위원1!C8</f>
        <v>교감</v>
      </c>
      <c r="D8" s="11" t="str">
        <f>위원1!D8</f>
        <v>후보 마</v>
      </c>
      <c r="E8" s="11">
        <f>위원1!H8</f>
        <v>86</v>
      </c>
      <c r="F8" s="11">
        <f>위원2!H8</f>
        <v>95</v>
      </c>
      <c r="G8" s="11">
        <f>위원3!H8</f>
        <v>87</v>
      </c>
      <c r="H8" s="11">
        <f t="shared" si="0"/>
        <v>268</v>
      </c>
      <c r="I8" s="12">
        <f t="shared" si="1"/>
        <v>89.33</v>
      </c>
      <c r="J8" s="11">
        <f>위원1!E8+위원2!E8+위원3!E8</f>
        <v>129</v>
      </c>
      <c r="K8" s="11">
        <f>위원1!G8+위원2!G8+위원3!G8</f>
        <v>51</v>
      </c>
      <c r="L8" s="13">
        <f t="shared" si="2"/>
        <v>0.93155891979404259</v>
      </c>
      <c r="M8" s="14">
        <f t="shared" si="3"/>
        <v>2</v>
      </c>
      <c r="N8" s="15" t="str">
        <f t="shared" si="4"/>
        <v>추천</v>
      </c>
      <c r="O8" s="16" t="str">
        <f t="shared" si="5"/>
        <v/>
      </c>
      <c r="P8" s="17" t="str">
        <f>TRIM(IF(위원1!E8="","위원1 교육활동 기여도 빈칸 ","")&amp;IF(위원1!E8&gt;배점1,"위원1 교육활동 기여도 "&amp;위원1!E8&amp;"점(배점 "&amp;배점1&amp;" 초과) ","")&amp;IF(위원1!F8="","위원1 업무 협조도 빈칸 ","")&amp;IF(위원1!F8&gt;배점2,"위원1 업무 협조도 "&amp;위원1!F8&amp;"점(배점 "&amp;배점2&amp;" 초과) ","")&amp;IF(위원1!G8="","위원1 공적 실적 빈칸 ","")&amp;IF(위원1!G8&gt;배점3,"위원1 공적 실적 "&amp;위원1!G8&amp;"점(배점 "&amp;배점3&amp;" 초과) ","")&amp;IF(위원2!E8="","위원2 교육활동 기여도 빈칸 ","")&amp;IF(위원2!E8&gt;배점1,"위원2 교육활동 기여도 "&amp;위원2!E8&amp;"점(배점 "&amp;배점1&amp;" 초과) ","")&amp;IF(위원2!F8="","위원2 업무 협조도 빈칸 ","")&amp;IF(위원2!F8&gt;배점2,"위원2 업무 협조도 "&amp;위원2!F8&amp;"점(배점 "&amp;배점2&amp;" 초과) ","")&amp;IF(위원2!G8="","위원2 공적 실적 빈칸 ","")&amp;IF(위원2!G8&gt;배점3,"위원2 공적 실적 "&amp;위원2!G8&amp;"점(배점 "&amp;배점3&amp;" 초과) ","")&amp;IF(위원3!E8="","위원3 교육활동 기여도 빈칸 ","")&amp;IF(위원3!E8&gt;배점1,"위원3 교육활동 기여도 "&amp;위원3!E8&amp;"점(배점 "&amp;배점1&amp;" 초과) ","")&amp;IF(위원3!F8="","위원3 업무 협조도 빈칸 ","")&amp;IF(위원3!F8&gt;배점2,"위원3 업무 협조도 "&amp;위원3!F8&amp;"점(배점 "&amp;배점2&amp;" 초과) ","")&amp;IF(위원3!G8="","위원3 공적 실적 빈칸 ","")&amp;IF(위원3!G8&gt;배점3,"위원3 공적 실적 "&amp;위원3!G8&amp;"점(배점 "&amp;배점3&amp;" 초과) ","")&amp;IF(OR(위원1!D8&lt;&gt;위원2!D8,위원1!D8&lt;&gt;위원3!D8),"위원 시트끼리 성명 다름 ",""))</f>
        <v>위원2 업무 협조도 36점(배점 30 초과)</v>
      </c>
    </row>
    <row r="9" spans="1:16">
      <c r="A9" s="11">
        <f>위원1!A9</f>
        <v>6</v>
      </c>
      <c r="B9" s="11" t="str">
        <f>위원1!B9</f>
        <v>F초등학교</v>
      </c>
      <c r="C9" s="11" t="str">
        <f>위원1!C9</f>
        <v>교사</v>
      </c>
      <c r="D9" s="11" t="str">
        <f>위원1!D9</f>
        <v>후보 바</v>
      </c>
      <c r="E9" s="11">
        <f>위원1!H9</f>
        <v>89</v>
      </c>
      <c r="F9" s="11">
        <f>위원2!H9</f>
        <v>87</v>
      </c>
      <c r="G9" s="11">
        <f>위원3!H9</f>
        <v>89</v>
      </c>
      <c r="H9" s="11">
        <f t="shared" si="0"/>
        <v>265</v>
      </c>
      <c r="I9" s="12">
        <f t="shared" si="1"/>
        <v>88.33</v>
      </c>
      <c r="J9" s="11">
        <f>위원1!E9+위원2!E9+위원3!E9</f>
        <v>135</v>
      </c>
      <c r="K9" s="11">
        <f>위원1!G9+위원2!G9+위원3!G9</f>
        <v>51</v>
      </c>
      <c r="L9" s="13">
        <f t="shared" si="2"/>
        <v>0.14271598110644845</v>
      </c>
      <c r="M9" s="14">
        <f t="shared" si="3"/>
        <v>3</v>
      </c>
      <c r="N9" s="15" t="str">
        <f t="shared" si="4"/>
        <v/>
      </c>
      <c r="O9" s="16" t="str">
        <f t="shared" si="5"/>
        <v>합계 같음 → 교육활동 기여도로</v>
      </c>
      <c r="P9" s="17" t="str">
        <f>TRIM(IF(위원1!E9="","위원1 교육활동 기여도 빈칸 ","")&amp;IF(위원1!E9&gt;배점1,"위원1 교육활동 기여도 "&amp;위원1!E9&amp;"점(배점 "&amp;배점1&amp;" 초과) ","")&amp;IF(위원1!F9="","위원1 업무 협조도 빈칸 ","")&amp;IF(위원1!F9&gt;배점2,"위원1 업무 협조도 "&amp;위원1!F9&amp;"점(배점 "&amp;배점2&amp;" 초과) ","")&amp;IF(위원1!G9="","위원1 공적 실적 빈칸 ","")&amp;IF(위원1!G9&gt;배점3,"위원1 공적 실적 "&amp;위원1!G9&amp;"점(배점 "&amp;배점3&amp;" 초과) ","")&amp;IF(위원2!E9="","위원2 교육활동 기여도 빈칸 ","")&amp;IF(위원2!E9&gt;배점1,"위원2 교육활동 기여도 "&amp;위원2!E9&amp;"점(배점 "&amp;배점1&amp;" 초과) ","")&amp;IF(위원2!F9="","위원2 업무 협조도 빈칸 ","")&amp;IF(위원2!F9&gt;배점2,"위원2 업무 협조도 "&amp;위원2!F9&amp;"점(배점 "&amp;배점2&amp;" 초과) ","")&amp;IF(위원2!G9="","위원2 공적 실적 빈칸 ","")&amp;IF(위원2!G9&gt;배점3,"위원2 공적 실적 "&amp;위원2!G9&amp;"점(배점 "&amp;배점3&amp;" 초과) ","")&amp;IF(위원3!E9="","위원3 교육활동 기여도 빈칸 ","")&amp;IF(위원3!E9&gt;배점1,"위원3 교육활동 기여도 "&amp;위원3!E9&amp;"점(배점 "&amp;배점1&amp;" 초과) ","")&amp;IF(위원3!F9="","위원3 업무 협조도 빈칸 ","")&amp;IF(위원3!F9&gt;배점2,"위원3 업무 협조도 "&amp;위원3!F9&amp;"점(배점 "&amp;배점2&amp;" 초과) ","")&amp;IF(위원3!G9="","위원3 공적 실적 빈칸 ","")&amp;IF(위원3!G9&gt;배점3,"위원3 공적 실적 "&amp;위원3!G9&amp;"점(배점 "&amp;배점3&amp;" 초과) ","")&amp;IF(OR(위원1!D9&lt;&gt;위원2!D9,위원1!D9&lt;&gt;위원3!D9),"위원 시트끼리 성명 다름 ",""))</f>
        <v/>
      </c>
    </row>
    <row r="10" spans="1:16">
      <c r="A10" s="11">
        <f>위원1!A10</f>
        <v>7</v>
      </c>
      <c r="B10" s="11" t="str">
        <f>위원1!B10</f>
        <v>G중학교</v>
      </c>
      <c r="C10" s="11" t="str">
        <f>위원1!C10</f>
        <v>교사</v>
      </c>
      <c r="D10" s="11" t="str">
        <f>위원1!D10</f>
        <v>후보 사</v>
      </c>
      <c r="E10" s="11">
        <f>위원1!H10</f>
        <v>78</v>
      </c>
      <c r="F10" s="11">
        <f>위원2!H10</f>
        <v>78</v>
      </c>
      <c r="G10" s="11">
        <f>위원3!H10</f>
        <v>80</v>
      </c>
      <c r="H10" s="11">
        <f t="shared" si="0"/>
        <v>236</v>
      </c>
      <c r="I10" s="12">
        <f t="shared" si="1"/>
        <v>78.67</v>
      </c>
      <c r="J10" s="11">
        <f>위원1!E10+위원2!E10+위원3!E10</f>
        <v>119</v>
      </c>
      <c r="K10" s="11">
        <f>위원1!G10+위원2!G10+위원3!G10</f>
        <v>45</v>
      </c>
      <c r="L10" s="13">
        <f t="shared" si="2"/>
        <v>5.7075866025115829E-2</v>
      </c>
      <c r="M10" s="14">
        <f t="shared" si="3"/>
        <v>8</v>
      </c>
      <c r="N10" s="15" t="str">
        <f t="shared" si="4"/>
        <v/>
      </c>
      <c r="O10" s="16" t="str">
        <f t="shared" si="5"/>
        <v/>
      </c>
      <c r="P10" s="17" t="str">
        <f>TRIM(IF(위원1!E10="","위원1 교육활동 기여도 빈칸 ","")&amp;IF(위원1!E10&gt;배점1,"위원1 교육활동 기여도 "&amp;위원1!E10&amp;"점(배점 "&amp;배점1&amp;" 초과) ","")&amp;IF(위원1!F10="","위원1 업무 협조도 빈칸 ","")&amp;IF(위원1!F10&gt;배점2,"위원1 업무 협조도 "&amp;위원1!F10&amp;"점(배점 "&amp;배점2&amp;" 초과) ","")&amp;IF(위원1!G10="","위원1 공적 실적 빈칸 ","")&amp;IF(위원1!G10&gt;배점3,"위원1 공적 실적 "&amp;위원1!G10&amp;"점(배점 "&amp;배점3&amp;" 초과) ","")&amp;IF(위원2!E10="","위원2 교육활동 기여도 빈칸 ","")&amp;IF(위원2!E10&gt;배점1,"위원2 교육활동 기여도 "&amp;위원2!E10&amp;"점(배점 "&amp;배점1&amp;" 초과) ","")&amp;IF(위원2!F10="","위원2 업무 협조도 빈칸 ","")&amp;IF(위원2!F10&gt;배점2,"위원2 업무 협조도 "&amp;위원2!F10&amp;"점(배점 "&amp;배점2&amp;" 초과) ","")&amp;IF(위원2!G10="","위원2 공적 실적 빈칸 ","")&amp;IF(위원2!G10&gt;배점3,"위원2 공적 실적 "&amp;위원2!G10&amp;"점(배점 "&amp;배점3&amp;" 초과) ","")&amp;IF(위원3!E10="","위원3 교육활동 기여도 빈칸 ","")&amp;IF(위원3!E10&gt;배점1,"위원3 교육활동 기여도 "&amp;위원3!E10&amp;"점(배점 "&amp;배점1&amp;" 초과) ","")&amp;IF(위원3!F10="","위원3 업무 협조도 빈칸 ","")&amp;IF(위원3!F10&gt;배점2,"위원3 업무 협조도 "&amp;위원3!F10&amp;"점(배점 "&amp;배점2&amp;" 초과) ","")&amp;IF(위원3!G10="","위원3 공적 실적 빈칸 ","")&amp;IF(위원3!G10&gt;배점3,"위원3 공적 실적 "&amp;위원3!G10&amp;"점(배점 "&amp;배점3&amp;" 초과) ","")&amp;IF(OR(위원1!D10&lt;&gt;위원2!D10,위원1!D10&lt;&gt;위원3!D10),"위원 시트끼리 성명 다름 ",""))</f>
        <v/>
      </c>
    </row>
    <row r="11" spans="1:16">
      <c r="A11" s="11">
        <f>위원1!A11</f>
        <v>8</v>
      </c>
      <c r="B11" s="11" t="str">
        <f>위원1!B11</f>
        <v>H초등학교</v>
      </c>
      <c r="C11" s="11" t="str">
        <f>위원1!C11</f>
        <v>부장교사</v>
      </c>
      <c r="D11" s="11" t="str">
        <f>위원1!D11</f>
        <v>후보 아</v>
      </c>
      <c r="E11" s="11">
        <f>위원1!H11</f>
        <v>84</v>
      </c>
      <c r="F11" s="11">
        <f>위원2!H11</f>
        <v>84</v>
      </c>
      <c r="G11" s="11">
        <f>위원3!H11</f>
        <v>82</v>
      </c>
      <c r="H11" s="11">
        <f t="shared" si="0"/>
        <v>250</v>
      </c>
      <c r="I11" s="12">
        <f t="shared" si="1"/>
        <v>83.33</v>
      </c>
      <c r="J11" s="11">
        <f>위원1!E11+위원2!E11+위원3!E11</f>
        <v>126</v>
      </c>
      <c r="K11" s="11">
        <f>위원1!G11+위원2!G11+위원3!G11</f>
        <v>49</v>
      </c>
      <c r="L11" s="13">
        <f t="shared" si="2"/>
        <v>0.87275766088350792</v>
      </c>
      <c r="M11" s="14">
        <f t="shared" si="3"/>
        <v>5</v>
      </c>
      <c r="N11" s="15" t="str">
        <f t="shared" si="4"/>
        <v/>
      </c>
      <c r="O11" s="16" t="str">
        <f t="shared" si="5"/>
        <v>모든 기준 같음 → 추첨 번호 7로</v>
      </c>
      <c r="P11" s="17" t="str">
        <f>TRIM(IF(위원1!E11="","위원1 교육활동 기여도 빈칸 ","")&amp;IF(위원1!E11&gt;배점1,"위원1 교육활동 기여도 "&amp;위원1!E11&amp;"점(배점 "&amp;배점1&amp;" 초과) ","")&amp;IF(위원1!F11="","위원1 업무 협조도 빈칸 ","")&amp;IF(위원1!F11&gt;배점2,"위원1 업무 협조도 "&amp;위원1!F11&amp;"점(배점 "&amp;배점2&amp;" 초과) ","")&amp;IF(위원1!G11="","위원1 공적 실적 빈칸 ","")&amp;IF(위원1!G11&gt;배점3,"위원1 공적 실적 "&amp;위원1!G11&amp;"점(배점 "&amp;배점3&amp;" 초과) ","")&amp;IF(위원2!E11="","위원2 교육활동 기여도 빈칸 ","")&amp;IF(위원2!E11&gt;배점1,"위원2 교육활동 기여도 "&amp;위원2!E11&amp;"점(배점 "&amp;배점1&amp;" 초과) ","")&amp;IF(위원2!F11="","위원2 업무 협조도 빈칸 ","")&amp;IF(위원2!F11&gt;배점2,"위원2 업무 협조도 "&amp;위원2!F11&amp;"점(배점 "&amp;배점2&amp;" 초과) ","")&amp;IF(위원2!G11="","위원2 공적 실적 빈칸 ","")&amp;IF(위원2!G11&gt;배점3,"위원2 공적 실적 "&amp;위원2!G11&amp;"점(배점 "&amp;배점3&amp;" 초과) ","")&amp;IF(위원3!E11="","위원3 교육활동 기여도 빈칸 ","")&amp;IF(위원3!E11&gt;배점1,"위원3 교육활동 기여도 "&amp;위원3!E11&amp;"점(배점 "&amp;배점1&amp;" 초과) ","")&amp;IF(위원3!F11="","위원3 업무 협조도 빈칸 ","")&amp;IF(위원3!F11&gt;배점2,"위원3 업무 협조도 "&amp;위원3!F11&amp;"점(배점 "&amp;배점2&amp;" 초과) ","")&amp;IF(위원3!G11="","위원3 공적 실적 빈칸 ","")&amp;IF(위원3!G11&gt;배점3,"위원3 공적 실적 "&amp;위원3!G11&amp;"점(배점 "&amp;배점3&amp;" 초과) ","")&amp;IF(OR(위원1!D11&lt;&gt;위원2!D11,위원1!D11&lt;&gt;위원3!D11),"위원 시트끼리 성명 다름 ",""))</f>
        <v/>
      </c>
    </row>
  </sheetData>
  <phoneticPr fontId="13" type="noConversion"/>
  <conditionalFormatting sqref="A4:N11">
    <cfRule type="expression" dxfId="1" priority="1">
      <formula>$N4="추천"</formula>
    </cfRule>
  </conditionalFormatting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8"/>
  <sheetViews>
    <sheetView workbookViewId="0"/>
  </sheetViews>
  <sheetFormatPr defaultRowHeight="16.5"/>
  <cols>
    <col min="1" max="1" width="26" customWidth="1"/>
    <col min="2" max="2" width="10" customWidth="1"/>
    <col min="3" max="3" width="60" customWidth="1"/>
  </cols>
  <sheetData>
    <row r="1" spans="1:3" ht="24">
      <c r="A1" s="1" t="s">
        <v>65</v>
      </c>
    </row>
    <row r="2" spans="1:3">
      <c r="A2" s="2" t="s">
        <v>66</v>
      </c>
    </row>
    <row r="3" spans="1:3" ht="33.950000000000003" customHeight="1">
      <c r="A3" s="5" t="s">
        <v>67</v>
      </c>
      <c r="B3" s="5" t="s">
        <v>68</v>
      </c>
      <c r="C3" s="5" t="s">
        <v>69</v>
      </c>
    </row>
    <row r="4" spans="1:3">
      <c r="A4" s="18" t="s">
        <v>70</v>
      </c>
      <c r="B4" s="14">
        <f>SUMPRODUCT((위원1!E4:E11&gt;배점1)*1)+SUMPRODUCT((위원1!F4:F11&gt;배점2)*1)+SUMPRODUCT((위원1!G4:G11&gt;배점3)*1)+SUMPRODUCT((위원2!E4:E11&gt;배점1)*1)+SUMPRODUCT((위원2!F4:F11&gt;배점2)*1)+SUMPRODUCT((위원2!G4:G11&gt;배점3)*1)+SUMPRODUCT((위원3!E4:E11&gt;배점1)*1)+SUMPRODUCT((위원3!F4:F11&gt;배점2)*1)+SUMPRODUCT((위원3!G4:G11&gt;배점3)*1)</f>
        <v>1</v>
      </c>
      <c r="C4" s="19" t="s">
        <v>71</v>
      </c>
    </row>
    <row r="5" spans="1:3">
      <c r="A5" s="18" t="s">
        <v>72</v>
      </c>
      <c r="B5" s="14">
        <f>COUNTBLANK(위원1!E4:G11)+COUNTBLANK(위원2!E4:G11)+COUNTBLANK(위원3!E4:G11)</f>
        <v>0</v>
      </c>
      <c r="C5" s="19" t="s">
        <v>73</v>
      </c>
    </row>
    <row r="6" spans="1:3">
      <c r="A6" s="18" t="s">
        <v>74</v>
      </c>
      <c r="B6" s="14">
        <f>SUMPRODUCT((위원1!D4:D11&lt;&gt;위원2!D4:D11)+(위원1!D4:D11&lt;&gt;위원3!D4:D11))</f>
        <v>0</v>
      </c>
      <c r="C6" s="19" t="s">
        <v>75</v>
      </c>
    </row>
    <row r="7" spans="1:3">
      <c r="A7" s="18" t="s">
        <v>76</v>
      </c>
      <c r="B7" s="14">
        <f>SUMPRODUCT((COUNTIF(집계표!M4:M11,집계표!M4:M11)&gt;1)*1)</f>
        <v>0</v>
      </c>
      <c r="C7" s="19" t="s">
        <v>77</v>
      </c>
    </row>
    <row r="8" spans="1:3">
      <c r="A8" s="3" t="s">
        <v>78</v>
      </c>
      <c r="B8" s="3">
        <f>SUM(B4:B7)</f>
        <v>1</v>
      </c>
      <c r="C8" s="20" t="str">
        <f>IF(B8=0,"이상 없음 — 결과 시트를 써도 됩니다","확인 필요 — 아래 위치를 위원께 확인하세요")</f>
        <v>확인 필요 — 아래 위치를 위원께 확인하세요</v>
      </c>
    </row>
    <row r="10" spans="1:3">
      <c r="A10" s="8" t="s">
        <v>79</v>
      </c>
    </row>
    <row r="11" spans="1:3">
      <c r="A11" s="9" t="str">
        <f>IF(집계표!P4="","",집계표!D4&amp;" (관리번호 "&amp;집계표!A4&amp;")")</f>
        <v/>
      </c>
      <c r="B11" s="21" t="str">
        <f>IF(집계표!P4="","",집계표!P4)</f>
        <v/>
      </c>
    </row>
    <row r="12" spans="1:3">
      <c r="A12" s="9" t="str">
        <f>IF(집계표!P5="","",집계표!D5&amp;" (관리번호 "&amp;집계표!A5&amp;")")</f>
        <v/>
      </c>
      <c r="B12" s="21" t="str">
        <f>IF(집계표!P5="","",집계표!P5)</f>
        <v/>
      </c>
    </row>
    <row r="13" spans="1:3">
      <c r="A13" s="9" t="str">
        <f>IF(집계표!P6="","",집계표!D6&amp;" (관리번호 "&amp;집계표!A6&amp;")")</f>
        <v/>
      </c>
      <c r="B13" s="21" t="str">
        <f>IF(집계표!P6="","",집계표!P6)</f>
        <v/>
      </c>
    </row>
    <row r="14" spans="1:3">
      <c r="A14" s="9" t="str">
        <f>IF(집계표!P7="","",집계표!D7&amp;" (관리번호 "&amp;집계표!A7&amp;")")</f>
        <v/>
      </c>
      <c r="B14" s="21" t="str">
        <f>IF(집계표!P7="","",집계표!P7)</f>
        <v/>
      </c>
    </row>
    <row r="15" spans="1:3">
      <c r="A15" s="9" t="str">
        <f>IF(집계표!P8="","",집계표!D8&amp;" (관리번호 "&amp;집계표!A8&amp;")")</f>
        <v>후보 마 (관리번호 5)</v>
      </c>
      <c r="B15" s="21" t="str">
        <f>IF(집계표!P8="","",집계표!P8)</f>
        <v>위원2 업무 협조도 36점(배점 30 초과)</v>
      </c>
    </row>
    <row r="16" spans="1:3">
      <c r="A16" s="9" t="str">
        <f>IF(집계표!P9="","",집계표!D9&amp;" (관리번호 "&amp;집계표!A9&amp;")")</f>
        <v/>
      </c>
      <c r="B16" s="21" t="str">
        <f>IF(집계표!P9="","",집계표!P9)</f>
        <v/>
      </c>
    </row>
    <row r="17" spans="1:2">
      <c r="A17" s="9" t="str">
        <f>IF(집계표!P10="","",집계표!D10&amp;" (관리번호 "&amp;집계표!A10&amp;")")</f>
        <v/>
      </c>
      <c r="B17" s="21" t="str">
        <f>IF(집계표!P10="","",집계표!P10)</f>
        <v/>
      </c>
    </row>
    <row r="18" spans="1:2">
      <c r="A18" s="9" t="str">
        <f>IF(집계표!P11="","",집계표!D11&amp;" (관리번호 "&amp;집계표!A11&amp;")")</f>
        <v/>
      </c>
      <c r="B18" s="21" t="str">
        <f>IF(집계표!P11="","",집계표!P11)</f>
        <v/>
      </c>
    </row>
  </sheetData>
  <phoneticPr fontId="13" type="noConversion"/>
  <conditionalFormatting sqref="B4:C8">
    <cfRule type="expression" dxfId="0" priority="1">
      <formula>$B$8&gt;0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workbookViewId="0"/>
  </sheetViews>
  <sheetFormatPr defaultRowHeight="16.5"/>
  <cols>
    <col min="1" max="1" width="7" customWidth="1"/>
    <col min="2" max="2" width="14" customWidth="1"/>
    <col min="3" max="4" width="10" customWidth="1"/>
    <col min="5" max="5" width="9" customWidth="1"/>
    <col min="6" max="6" width="32" customWidth="1"/>
  </cols>
  <sheetData>
    <row r="1" spans="1:6" ht="24">
      <c r="A1" s="1" t="str">
        <f>연도&amp;"년 "&amp;설정!B5&amp;" 결과"</f>
        <v>2026년 인성교육 분야 유공자 표창 추천 대상자 심사 결과</v>
      </c>
    </row>
    <row r="2" spans="1:6">
      <c r="A2" s="21" t="str">
        <f>IF(점검!B8=0,"","※ 점검에서 문제 "&amp;점검!B8&amp;"건이 나왔습니다. 위원 확인 후 점수를 고친 다음 쓰세요.")</f>
        <v>※ 점검에서 문제 1건이 나왔습니다. 위원 확인 후 점수를 고친 다음 쓰세요.</v>
      </c>
    </row>
    <row r="4" spans="1:6">
      <c r="A4" s="22" t="str">
        <f>"추천 대상자 ("&amp;추천인원&amp;"명)"</f>
        <v>추천 대상자 (2명)</v>
      </c>
    </row>
    <row r="5" spans="1:6" ht="33.950000000000003" customHeight="1">
      <c r="A5" s="5" t="s">
        <v>62</v>
      </c>
      <c r="B5" s="5" t="s">
        <v>23</v>
      </c>
      <c r="C5" s="5" t="s">
        <v>24</v>
      </c>
      <c r="D5" s="5" t="s">
        <v>25</v>
      </c>
      <c r="E5" s="5" t="s">
        <v>80</v>
      </c>
      <c r="F5" s="5" t="s">
        <v>64</v>
      </c>
    </row>
    <row r="6" spans="1:6">
      <c r="A6" s="11">
        <f>IF(1&gt;추천인원,"",1)</f>
        <v>1</v>
      </c>
      <c r="B6" s="11" t="str">
        <f>IF(1&gt;추천인원,"",INDEX(집계표!$B$4:$B$11,MATCH(1,집계표!$M$4:$M$11,0)))</f>
        <v>C초등학교</v>
      </c>
      <c r="C6" s="11" t="str">
        <f>IF(1&gt;추천인원,"",INDEX(집계표!$C$4:$C$11,MATCH(1,집계표!$M$4:$M$11,0)))</f>
        <v>교사</v>
      </c>
      <c r="D6" s="11" t="str">
        <f>IF(1&gt;추천인원,"",INDEX(집계표!$D$4:$D$11,MATCH(1,집계표!$M$4:$M$11,0)))</f>
        <v>후보 다</v>
      </c>
      <c r="E6" s="12">
        <f>IF(1&gt;추천인원,"",INDEX(집계표!$I$4:$I$11,MATCH(1,집계표!$M$4:$M$11,0)))</f>
        <v>90.67</v>
      </c>
      <c r="F6" s="18" t="str">
        <f>IF(1&gt;추천인원,"",INDEX(집계표!$O$4:$O$11,MATCH(1,집계표!$M$4:$M$11,0)))</f>
        <v/>
      </c>
    </row>
    <row r="7" spans="1:6">
      <c r="A7" s="11">
        <f>IF(2&gt;추천인원,"",2)</f>
        <v>2</v>
      </c>
      <c r="B7" s="11" t="str">
        <f>IF(2&gt;추천인원,"",INDEX(집계표!$B$4:$B$11,MATCH(2,집계표!$M$4:$M$11,0)))</f>
        <v>E초등학교</v>
      </c>
      <c r="C7" s="11" t="str">
        <f>IF(2&gt;추천인원,"",INDEX(집계표!$C$4:$C$11,MATCH(2,집계표!$M$4:$M$11,0)))</f>
        <v>교감</v>
      </c>
      <c r="D7" s="11" t="str">
        <f>IF(2&gt;추천인원,"",INDEX(집계표!$D$4:$D$11,MATCH(2,집계표!$M$4:$M$11,0)))</f>
        <v>후보 마</v>
      </c>
      <c r="E7" s="12">
        <f>IF(2&gt;추천인원,"",INDEX(집계표!$I$4:$I$11,MATCH(2,집계표!$M$4:$M$11,0)))</f>
        <v>89.33</v>
      </c>
      <c r="F7" s="18" t="str">
        <f>IF(2&gt;추천인원,"",INDEX(집계표!$O$4:$O$11,MATCH(2,집계표!$M$4:$M$11,0)))</f>
        <v/>
      </c>
    </row>
    <row r="8" spans="1:6">
      <c r="A8" s="11" t="str">
        <f>IF(3&gt;추천인원,"",3)</f>
        <v/>
      </c>
      <c r="B8" s="11" t="str">
        <f>IF(3&gt;추천인원,"",INDEX(집계표!$B$4:$B$11,MATCH(3,집계표!$M$4:$M$11,0)))</f>
        <v/>
      </c>
      <c r="C8" s="11" t="str">
        <f>IF(3&gt;추천인원,"",INDEX(집계표!$C$4:$C$11,MATCH(3,집계표!$M$4:$M$11,0)))</f>
        <v/>
      </c>
      <c r="D8" s="11" t="str">
        <f>IF(3&gt;추천인원,"",INDEX(집계표!$D$4:$D$11,MATCH(3,집계표!$M$4:$M$11,0)))</f>
        <v/>
      </c>
      <c r="E8" s="12" t="str">
        <f>IF(3&gt;추천인원,"",INDEX(집계표!$I$4:$I$11,MATCH(3,집계표!$M$4:$M$11,0)))</f>
        <v/>
      </c>
      <c r="F8" s="18" t="str">
        <f>IF(3&gt;추천인원,"",INDEX(집계표!$O$4:$O$11,MATCH(3,집계표!$M$4:$M$11,0)))</f>
        <v/>
      </c>
    </row>
    <row r="9" spans="1:6">
      <c r="A9" s="11" t="str">
        <f>IF(4&gt;추천인원,"",4)</f>
        <v/>
      </c>
      <c r="B9" s="11" t="str">
        <f>IF(4&gt;추천인원,"",INDEX(집계표!$B$4:$B$11,MATCH(4,집계표!$M$4:$M$11,0)))</f>
        <v/>
      </c>
      <c r="C9" s="11" t="str">
        <f>IF(4&gt;추천인원,"",INDEX(집계표!$C$4:$C$11,MATCH(4,집계표!$M$4:$M$11,0)))</f>
        <v/>
      </c>
      <c r="D9" s="11" t="str">
        <f>IF(4&gt;추천인원,"",INDEX(집계표!$D$4:$D$11,MATCH(4,집계표!$M$4:$M$11,0)))</f>
        <v/>
      </c>
      <c r="E9" s="12" t="str">
        <f>IF(4&gt;추천인원,"",INDEX(집계표!$I$4:$I$11,MATCH(4,집계표!$M$4:$M$11,0)))</f>
        <v/>
      </c>
      <c r="F9" s="18" t="str">
        <f>IF(4&gt;추천인원,"",INDEX(집계표!$O$4:$O$11,MATCH(4,집계표!$M$4:$M$11,0)))</f>
        <v/>
      </c>
    </row>
    <row r="10" spans="1:6">
      <c r="A10" s="11" t="str">
        <f>IF(5&gt;추천인원,"",5)</f>
        <v/>
      </c>
      <c r="B10" s="11" t="str">
        <f>IF(5&gt;추천인원,"",INDEX(집계표!$B$4:$B$11,MATCH(5,집계표!$M$4:$M$11,0)))</f>
        <v/>
      </c>
      <c r="C10" s="11" t="str">
        <f>IF(5&gt;추천인원,"",INDEX(집계표!$C$4:$C$11,MATCH(5,집계표!$M$4:$M$11,0)))</f>
        <v/>
      </c>
      <c r="D10" s="11" t="str">
        <f>IF(5&gt;추천인원,"",INDEX(집계표!$D$4:$D$11,MATCH(5,집계표!$M$4:$M$11,0)))</f>
        <v/>
      </c>
      <c r="E10" s="12" t="str">
        <f>IF(5&gt;추천인원,"",INDEX(집계표!$I$4:$I$11,MATCH(5,집계표!$M$4:$M$11,0)))</f>
        <v/>
      </c>
      <c r="F10" s="18" t="str">
        <f>IF(5&gt;추천인원,"",INDEX(집계표!$O$4:$O$11,MATCH(5,집계표!$M$4:$M$11,0)))</f>
        <v/>
      </c>
    </row>
    <row r="12" spans="1:6">
      <c r="A12" s="22" t="s">
        <v>81</v>
      </c>
    </row>
    <row r="13" spans="1:6" ht="33.950000000000003" customHeight="1">
      <c r="A13" s="5" t="s">
        <v>62</v>
      </c>
      <c r="B13" s="5" t="s">
        <v>23</v>
      </c>
      <c r="C13" s="5" t="s">
        <v>24</v>
      </c>
      <c r="D13" s="5" t="s">
        <v>25</v>
      </c>
      <c r="E13" s="5" t="s">
        <v>80</v>
      </c>
      <c r="F13" s="5" t="s">
        <v>64</v>
      </c>
    </row>
    <row r="14" spans="1:6">
      <c r="A14" s="11">
        <f>IF(1&gt;8,"",1)</f>
        <v>1</v>
      </c>
      <c r="B14" s="11" t="str">
        <f>IF(1&gt;8,"",INDEX(집계표!$B$4:$B$11,MATCH(1,집계표!$M$4:$M$11,0)))</f>
        <v>C초등학교</v>
      </c>
      <c r="C14" s="11" t="str">
        <f>IF(1&gt;8,"",INDEX(집계표!$C$4:$C$11,MATCH(1,집계표!$M$4:$M$11,0)))</f>
        <v>교사</v>
      </c>
      <c r="D14" s="11" t="str">
        <f>IF(1&gt;8,"",INDEX(집계표!$D$4:$D$11,MATCH(1,집계표!$M$4:$M$11,0)))</f>
        <v>후보 다</v>
      </c>
      <c r="E14" s="12">
        <f>IF(1&gt;8,"",INDEX(집계표!$I$4:$I$11,MATCH(1,집계표!$M$4:$M$11,0)))</f>
        <v>90.67</v>
      </c>
      <c r="F14" s="18" t="str">
        <f>IF(1&gt;8,"",INDEX(집계표!$O$4:$O$11,MATCH(1,집계표!$M$4:$M$11,0)))</f>
        <v/>
      </c>
    </row>
    <row r="15" spans="1:6">
      <c r="A15" s="11">
        <f>IF(2&gt;8,"",2)</f>
        <v>2</v>
      </c>
      <c r="B15" s="11" t="str">
        <f>IF(2&gt;8,"",INDEX(집계표!$B$4:$B$11,MATCH(2,집계표!$M$4:$M$11,0)))</f>
        <v>E초등학교</v>
      </c>
      <c r="C15" s="11" t="str">
        <f>IF(2&gt;8,"",INDEX(집계표!$C$4:$C$11,MATCH(2,집계표!$M$4:$M$11,0)))</f>
        <v>교감</v>
      </c>
      <c r="D15" s="11" t="str">
        <f>IF(2&gt;8,"",INDEX(집계표!$D$4:$D$11,MATCH(2,집계표!$M$4:$M$11,0)))</f>
        <v>후보 마</v>
      </c>
      <c r="E15" s="12">
        <f>IF(2&gt;8,"",INDEX(집계표!$I$4:$I$11,MATCH(2,집계표!$M$4:$M$11,0)))</f>
        <v>89.33</v>
      </c>
      <c r="F15" s="18" t="str">
        <f>IF(2&gt;8,"",INDEX(집계표!$O$4:$O$11,MATCH(2,집계표!$M$4:$M$11,0)))</f>
        <v/>
      </c>
    </row>
    <row r="16" spans="1:6">
      <c r="A16" s="11">
        <f>IF(3&gt;8,"",3)</f>
        <v>3</v>
      </c>
      <c r="B16" s="11" t="str">
        <f>IF(3&gt;8,"",INDEX(집계표!$B$4:$B$11,MATCH(3,집계표!$M$4:$M$11,0)))</f>
        <v>F초등학교</v>
      </c>
      <c r="C16" s="11" t="str">
        <f>IF(3&gt;8,"",INDEX(집계표!$C$4:$C$11,MATCH(3,집계표!$M$4:$M$11,0)))</f>
        <v>교사</v>
      </c>
      <c r="D16" s="11" t="str">
        <f>IF(3&gt;8,"",INDEX(집계표!$D$4:$D$11,MATCH(3,집계표!$M$4:$M$11,0)))</f>
        <v>후보 바</v>
      </c>
      <c r="E16" s="12">
        <f>IF(3&gt;8,"",INDEX(집계표!$I$4:$I$11,MATCH(3,집계표!$M$4:$M$11,0)))</f>
        <v>88.33</v>
      </c>
      <c r="F16" s="18" t="str">
        <f>IF(3&gt;8,"",INDEX(집계표!$O$4:$O$11,MATCH(3,집계표!$M$4:$M$11,0)))</f>
        <v>합계 같음 → 교육활동 기여도로</v>
      </c>
    </row>
    <row r="17" spans="1:6">
      <c r="A17" s="11">
        <f>IF(4&gt;8,"",4)</f>
        <v>4</v>
      </c>
      <c r="B17" s="11" t="str">
        <f>IF(4&gt;8,"",INDEX(집계표!$B$4:$B$11,MATCH(4,집계표!$M$4:$M$11,0)))</f>
        <v>A초등학교</v>
      </c>
      <c r="C17" s="11" t="str">
        <f>IF(4&gt;8,"",INDEX(집계표!$C$4:$C$11,MATCH(4,집계표!$M$4:$M$11,0)))</f>
        <v>교사</v>
      </c>
      <c r="D17" s="11" t="str">
        <f>IF(4&gt;8,"",INDEX(집계표!$D$4:$D$11,MATCH(4,집계표!$M$4:$M$11,0)))</f>
        <v>후보 가</v>
      </c>
      <c r="E17" s="12">
        <f>IF(4&gt;8,"",INDEX(집계표!$I$4:$I$11,MATCH(4,집계표!$M$4:$M$11,0)))</f>
        <v>88.33</v>
      </c>
      <c r="F17" s="18" t="str">
        <f>IF(4&gt;8,"",INDEX(집계표!$O$4:$O$11,MATCH(4,집계표!$M$4:$M$11,0)))</f>
        <v>합계 같음 → 교육활동 기여도로</v>
      </c>
    </row>
    <row r="18" spans="1:6">
      <c r="A18" s="11">
        <f>IF(5&gt;8,"",5)</f>
        <v>5</v>
      </c>
      <c r="B18" s="11" t="str">
        <f>IF(5&gt;8,"",INDEX(집계표!$B$4:$B$11,MATCH(5,집계표!$M$4:$M$11,0)))</f>
        <v>H초등학교</v>
      </c>
      <c r="C18" s="11" t="str">
        <f>IF(5&gt;8,"",INDEX(집계표!$C$4:$C$11,MATCH(5,집계표!$M$4:$M$11,0)))</f>
        <v>부장교사</v>
      </c>
      <c r="D18" s="11" t="str">
        <f>IF(5&gt;8,"",INDEX(집계표!$D$4:$D$11,MATCH(5,집계표!$M$4:$M$11,0)))</f>
        <v>후보 아</v>
      </c>
      <c r="E18" s="12">
        <f>IF(5&gt;8,"",INDEX(집계표!$I$4:$I$11,MATCH(5,집계표!$M$4:$M$11,0)))</f>
        <v>83.33</v>
      </c>
      <c r="F18" s="18" t="str">
        <f>IF(5&gt;8,"",INDEX(집계표!$O$4:$O$11,MATCH(5,집계표!$M$4:$M$11,0)))</f>
        <v>모든 기준 같음 → 추첨 번호 7로</v>
      </c>
    </row>
    <row r="19" spans="1:6">
      <c r="A19" s="11">
        <f>IF(6&gt;8,"",6)</f>
        <v>6</v>
      </c>
      <c r="B19" s="11" t="str">
        <f>IF(6&gt;8,"",INDEX(집계표!$B$4:$B$11,MATCH(6,집계표!$M$4:$M$11,0)))</f>
        <v>B초등학교</v>
      </c>
      <c r="C19" s="11" t="str">
        <f>IF(6&gt;8,"",INDEX(집계표!$C$4:$C$11,MATCH(6,집계표!$M$4:$M$11,0)))</f>
        <v>수석교사</v>
      </c>
      <c r="D19" s="11" t="str">
        <f>IF(6&gt;8,"",INDEX(집계표!$D$4:$D$11,MATCH(6,집계표!$M$4:$M$11,0)))</f>
        <v>후보 나</v>
      </c>
      <c r="E19" s="12">
        <f>IF(6&gt;8,"",INDEX(집계표!$I$4:$I$11,MATCH(6,집계표!$M$4:$M$11,0)))</f>
        <v>83.33</v>
      </c>
      <c r="F19" s="18" t="str">
        <f>IF(6&gt;8,"",INDEX(집계표!$O$4:$O$11,MATCH(6,집계표!$M$4:$M$11,0)))</f>
        <v>모든 기준 같음 → 추첨 번호 7로</v>
      </c>
    </row>
    <row r="20" spans="1:6">
      <c r="A20" s="11">
        <f>IF(7&gt;8,"",7)</f>
        <v>7</v>
      </c>
      <c r="B20" s="11" t="str">
        <f>IF(7&gt;8,"",INDEX(집계표!$B$4:$B$11,MATCH(7,집계표!$M$4:$M$11,0)))</f>
        <v>D중학교</v>
      </c>
      <c r="C20" s="11" t="str">
        <f>IF(7&gt;8,"",INDEX(집계표!$C$4:$C$11,MATCH(7,집계표!$M$4:$M$11,0)))</f>
        <v>교사</v>
      </c>
      <c r="D20" s="11" t="str">
        <f>IF(7&gt;8,"",INDEX(집계표!$D$4:$D$11,MATCH(7,집계표!$M$4:$M$11,0)))</f>
        <v>후보 라</v>
      </c>
      <c r="E20" s="12">
        <f>IF(7&gt;8,"",INDEX(집계표!$I$4:$I$11,MATCH(7,집계표!$M$4:$M$11,0)))</f>
        <v>80.33</v>
      </c>
      <c r="F20" s="18" t="str">
        <f>IF(7&gt;8,"",INDEX(집계표!$O$4:$O$11,MATCH(7,집계표!$M$4:$M$11,0)))</f>
        <v/>
      </c>
    </row>
    <row r="21" spans="1:6">
      <c r="A21" s="11">
        <f>IF(8&gt;8,"",8)</f>
        <v>8</v>
      </c>
      <c r="B21" s="11" t="str">
        <f>IF(8&gt;8,"",INDEX(집계표!$B$4:$B$11,MATCH(8,집계표!$M$4:$M$11,0)))</f>
        <v>G중학교</v>
      </c>
      <c r="C21" s="11" t="str">
        <f>IF(8&gt;8,"",INDEX(집계표!$C$4:$C$11,MATCH(8,집계표!$M$4:$M$11,0)))</f>
        <v>교사</v>
      </c>
      <c r="D21" s="11" t="str">
        <f>IF(8&gt;8,"",INDEX(집계표!$D$4:$D$11,MATCH(8,집계표!$M$4:$M$11,0)))</f>
        <v>후보 사</v>
      </c>
      <c r="E21" s="12">
        <f>IF(8&gt;8,"",INDEX(집계표!$I$4:$I$11,MATCH(8,집계표!$M$4:$M$11,0)))</f>
        <v>78.67</v>
      </c>
      <c r="F21" s="18" t="str">
        <f>IF(8&gt;8,"",INDEX(집계표!$O$4:$O$11,MATCH(8,집계표!$M$4:$M$11,0)))</f>
        <v/>
      </c>
    </row>
    <row r="23" spans="1:6">
      <c r="A23" s="2" t="s">
        <v>82</v>
      </c>
    </row>
  </sheetData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설정</vt:lpstr>
      <vt:lpstr>위원1</vt:lpstr>
      <vt:lpstr>위원2</vt:lpstr>
      <vt:lpstr>위원3</vt:lpstr>
      <vt:lpstr>집계표</vt:lpstr>
      <vt:lpstr>점검</vt:lpstr>
      <vt:lpstr>결과</vt:lpstr>
      <vt:lpstr>배점1</vt:lpstr>
      <vt:lpstr>배점2</vt:lpstr>
      <vt:lpstr>배점3</vt:lpstr>
      <vt:lpstr>연도</vt:lpstr>
      <vt:lpstr>추천인원</vt:lpstr>
      <vt:lpstr>추첨번호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2026-10-29T04:57:16Z</dcterms:created>
  <dcterms:modified xsi:type="dcterms:W3CDTF">2026-10-29T04:57:27Z</dcterms:modified>
</cp:coreProperties>
</file>